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OLICITATIONS &amp; CONTRACTS\26-XXX\26-022 RFP ITSM Platform and Implementation Services (DST)\01 - Working Documents\Drafts\To Cory\"/>
    </mc:Choice>
  </mc:AlternateContent>
  <xr:revisionPtr revIDLastSave="0" documentId="13_ncr:1_{AB6A7A85-3BC0-40F0-8ECE-30980245220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Scoring" sheetId="2" r:id="rId2"/>
    <sheet name="SOFTWARE Response Matrix" sheetId="3" r:id="rId3"/>
    <sheet name="Summary" sheetId="4" r:id="rId4"/>
  </sheets>
  <definedNames>
    <definedName name="_xlnm._FilterDatabase" localSheetId="2" hidden="1">'SOFTWARE Response Matrix'!$A$2:$J$90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89" i="3" l="1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J103" i="3" s="1"/>
  <c r="H104" i="3"/>
  <c r="H105" i="3"/>
  <c r="I101" i="3"/>
  <c r="I102" i="3"/>
  <c r="I103" i="3"/>
  <c r="I104" i="3"/>
  <c r="D19" i="4" s="1"/>
  <c r="I92" i="3"/>
  <c r="I93" i="3"/>
  <c r="I94" i="3"/>
  <c r="I95" i="3"/>
  <c r="I96" i="3"/>
  <c r="D18" i="4" s="1"/>
  <c r="I97" i="3"/>
  <c r="I98" i="3"/>
  <c r="I99" i="3"/>
  <c r="I100" i="3"/>
  <c r="I91" i="3"/>
  <c r="I90" i="3"/>
  <c r="D17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I23" i="3"/>
  <c r="H23" i="3"/>
  <c r="I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J66" i="3" s="1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J42" i="3" s="1"/>
  <c r="I41" i="3"/>
  <c r="H41" i="3"/>
  <c r="I40" i="3"/>
  <c r="H40" i="3"/>
  <c r="I39" i="3"/>
  <c r="H39" i="3"/>
  <c r="J39" i="3" s="1"/>
  <c r="I38" i="3"/>
  <c r="H38" i="3"/>
  <c r="I37" i="3"/>
  <c r="H37" i="3"/>
  <c r="I36" i="3"/>
  <c r="H36" i="3"/>
  <c r="I34" i="3"/>
  <c r="H34" i="3"/>
  <c r="I33" i="3"/>
  <c r="H33" i="3"/>
  <c r="I32" i="3"/>
  <c r="H32" i="3"/>
  <c r="I31" i="3"/>
  <c r="H31" i="3"/>
  <c r="I30" i="3"/>
  <c r="H30" i="3"/>
  <c r="I28" i="3"/>
  <c r="H28" i="3"/>
  <c r="I27" i="3"/>
  <c r="H27" i="3"/>
  <c r="I26" i="3"/>
  <c r="H26" i="3"/>
  <c r="J26" i="3" s="1"/>
  <c r="I25" i="3"/>
  <c r="H25" i="3"/>
  <c r="I24" i="3"/>
  <c r="H24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9" i="3"/>
  <c r="H9" i="3"/>
  <c r="I8" i="3"/>
  <c r="H8" i="3"/>
  <c r="I7" i="3"/>
  <c r="H7" i="3"/>
  <c r="I6" i="3"/>
  <c r="H6" i="3"/>
  <c r="J6" i="3" s="1"/>
  <c r="I5" i="3"/>
  <c r="H5" i="3"/>
  <c r="I4" i="3"/>
  <c r="H4" i="3"/>
  <c r="I3" i="3"/>
  <c r="J100" i="3" l="1"/>
  <c r="J9" i="3"/>
  <c r="J56" i="3"/>
  <c r="J99" i="3"/>
  <c r="D15" i="4"/>
  <c r="J98" i="3"/>
  <c r="J97" i="3"/>
  <c r="J96" i="3"/>
  <c r="J95" i="3"/>
  <c r="J94" i="3"/>
  <c r="J93" i="3"/>
  <c r="J92" i="3"/>
  <c r="J91" i="3"/>
  <c r="J102" i="3"/>
  <c r="J21" i="3"/>
  <c r="J101" i="3"/>
  <c r="B22" i="4"/>
  <c r="C3" i="4"/>
  <c r="C15" i="4"/>
  <c r="C9" i="4"/>
  <c r="C14" i="4"/>
  <c r="C5" i="4"/>
  <c r="C6" i="4"/>
  <c r="C16" i="4"/>
  <c r="C10" i="4"/>
  <c r="C13" i="4"/>
  <c r="C17" i="4"/>
  <c r="E17" i="4" s="1"/>
  <c r="C4" i="4"/>
  <c r="C12" i="4"/>
  <c r="C11" i="4"/>
  <c r="C7" i="4"/>
  <c r="C2" i="4"/>
  <c r="C18" i="4"/>
  <c r="E18" i="4" s="1"/>
  <c r="C8" i="4"/>
  <c r="J104" i="3"/>
  <c r="C19" i="4"/>
  <c r="E19" i="4" s="1"/>
  <c r="D6" i="4"/>
  <c r="J69" i="3"/>
  <c r="J23" i="3"/>
  <c r="H106" i="3"/>
  <c r="I106" i="3"/>
  <c r="D2" i="4"/>
  <c r="D14" i="4"/>
  <c r="J84" i="3"/>
  <c r="J4" i="3"/>
  <c r="J5" i="3"/>
  <c r="J7" i="3"/>
  <c r="J8" i="3"/>
  <c r="J11" i="3"/>
  <c r="D3" i="4"/>
  <c r="J12" i="3"/>
  <c r="J13" i="3"/>
  <c r="J14" i="3"/>
  <c r="J15" i="3"/>
  <c r="J16" i="3"/>
  <c r="J17" i="3"/>
  <c r="J18" i="3"/>
  <c r="J19" i="3"/>
  <c r="J20" i="3"/>
  <c r="J24" i="3"/>
  <c r="J25" i="3"/>
  <c r="J27" i="3"/>
  <c r="J28" i="3"/>
  <c r="J31" i="3"/>
  <c r="J32" i="3"/>
  <c r="J33" i="3"/>
  <c r="J34" i="3"/>
  <c r="J36" i="3"/>
  <c r="J37" i="3"/>
  <c r="J38" i="3"/>
  <c r="J40" i="3"/>
  <c r="J41" i="3"/>
  <c r="J43" i="3"/>
  <c r="J44" i="3"/>
  <c r="D8" i="4"/>
  <c r="J46" i="3"/>
  <c r="J47" i="3"/>
  <c r="J48" i="3"/>
  <c r="J49" i="3"/>
  <c r="J50" i="3"/>
  <c r="J51" i="3"/>
  <c r="J52" i="3"/>
  <c r="J54" i="3"/>
  <c r="J55" i="3"/>
  <c r="J57" i="3"/>
  <c r="D10" i="4"/>
  <c r="J58" i="3"/>
  <c r="J59" i="3"/>
  <c r="J60" i="3"/>
  <c r="J61" i="3"/>
  <c r="J62" i="3"/>
  <c r="J63" i="3"/>
  <c r="J64" i="3"/>
  <c r="J65" i="3"/>
  <c r="J67" i="3"/>
  <c r="J68" i="3"/>
  <c r="J70" i="3"/>
  <c r="J71" i="3"/>
  <c r="J72" i="3"/>
  <c r="J73" i="3"/>
  <c r="J75" i="3"/>
  <c r="J76" i="3"/>
  <c r="J77" i="3"/>
  <c r="D13" i="4"/>
  <c r="J79" i="3"/>
  <c r="J80" i="3"/>
  <c r="J82" i="3"/>
  <c r="J83" i="3"/>
  <c r="J85" i="3"/>
  <c r="J86" i="3"/>
  <c r="J88" i="3"/>
  <c r="J89" i="3"/>
  <c r="J90" i="3"/>
  <c r="J45" i="3"/>
  <c r="J87" i="3"/>
  <c r="J53" i="3"/>
  <c r="J81" i="3"/>
  <c r="D7" i="4"/>
  <c r="J3" i="3"/>
  <c r="D4" i="4"/>
  <c r="D11" i="4"/>
  <c r="J78" i="3"/>
  <c r="D5" i="4"/>
  <c r="D9" i="4"/>
  <c r="D16" i="4"/>
  <c r="D12" i="4"/>
  <c r="J30" i="3"/>
  <c r="E15" i="4" l="1"/>
  <c r="E16" i="4"/>
  <c r="E6" i="4"/>
  <c r="J106" i="3"/>
  <c r="E2" i="4"/>
  <c r="C22" i="4"/>
  <c r="D22" i="4"/>
  <c r="E7" i="4"/>
  <c r="E14" i="4"/>
  <c r="E11" i="4"/>
  <c r="E4" i="4"/>
  <c r="E5" i="4"/>
  <c r="E13" i="4"/>
  <c r="E3" i="4"/>
  <c r="E9" i="4"/>
  <c r="E8" i="4"/>
  <c r="E12" i="4"/>
  <c r="E10" i="4"/>
  <c r="E22" i="4" l="1"/>
</calcChain>
</file>

<file path=xl/sharedStrings.xml><?xml version="1.0" encoding="utf-8"?>
<sst xmlns="http://schemas.openxmlformats.org/spreadsheetml/2006/main" count="480" uniqueCount="267">
  <si>
    <t>ITSM RFP – Vendor Response Workbook</t>
  </si>
  <si>
    <t>How to use</t>
  </si>
  <si>
    <t>1) Go to the 'Response Matrix' tab.</t>
  </si>
  <si>
    <t>2) For each requirement, choose a value in Response (M,C,X,P,N,R):</t>
  </si>
  <si>
    <t>M</t>
  </si>
  <si>
    <t>Meets Requirement Out of the Box</t>
  </si>
  <si>
    <t>C</t>
  </si>
  <si>
    <t>Configuration</t>
  </si>
  <si>
    <t>X</t>
  </si>
  <si>
    <t>Extension/Low-code</t>
  </si>
  <si>
    <t>P</t>
  </si>
  <si>
    <t>Partner/3rd party</t>
  </si>
  <si>
    <t>N</t>
  </si>
  <si>
    <t>Not available</t>
  </si>
  <si>
    <t>R</t>
  </si>
  <si>
    <t>Roadmap (provide date in notes)</t>
  </si>
  <si>
    <t>3) Score auto-calculates based on Priority and Response.</t>
  </si>
  <si>
    <t>4) See the Summary tab for totals by capability and overall %.</t>
  </si>
  <si>
    <t>Response</t>
  </si>
  <si>
    <t>MustPts</t>
  </si>
  <si>
    <t>ShouldPts</t>
  </si>
  <si>
    <t>Max Points</t>
  </si>
  <si>
    <t>Meets OOTB</t>
  </si>
  <si>
    <t>Must</t>
  </si>
  <si>
    <t>Should</t>
  </si>
  <si>
    <t>Road map (note date)</t>
  </si>
  <si>
    <t>RFP-26-022 Software Provider Response Matrix</t>
  </si>
  <si>
    <t>#</t>
  </si>
  <si>
    <t>Capability</t>
  </si>
  <si>
    <t>Requirement (Atomic)</t>
  </si>
  <si>
    <t>Priority</t>
  </si>
  <si>
    <t>Evidence/Link</t>
  </si>
  <si>
    <t>Notes</t>
  </si>
  <si>
    <t>Score</t>
  </si>
  <si>
    <t>Score %</t>
  </si>
  <si>
    <t>A-1</t>
  </si>
  <si>
    <t>Incident</t>
  </si>
  <si>
    <t>Multi-channel intake: portal and email</t>
  </si>
  <si>
    <t>A-2</t>
  </si>
  <si>
    <t>Multi-channel intake: Teams message/action to create ticket</t>
  </si>
  <si>
    <t>A-3</t>
  </si>
  <si>
    <t>Configurable incident form with conditional fields (no code)</t>
  </si>
  <si>
    <t>A-4</t>
  </si>
  <si>
    <t>Prioritization via impact×urgency matrix (editable)</t>
  </si>
  <si>
    <t>A-5</t>
  </si>
  <si>
    <t>SLA/OLA definitions with business calendars and pause rules</t>
  </si>
  <si>
    <t>A-6</t>
  </si>
  <si>
    <t>SLA Breach warnings and notifications to assignee/manager</t>
  </si>
  <si>
    <t>A-7</t>
  </si>
  <si>
    <t>Assignment to queues/teams with skills/routing</t>
  </si>
  <si>
    <t>A-8</t>
  </si>
  <si>
    <t>Generative AI to suggest relavant knolwedge articles and recommened resolution notes/steps.</t>
  </si>
  <si>
    <t>A-9</t>
  </si>
  <si>
    <t>AI Agent collaboration: @mentions and internal notes</t>
  </si>
  <si>
    <t>A-10</t>
  </si>
  <si>
    <t>Major Incident</t>
  </si>
  <si>
    <t>One-click declaration and automatic stakeholder comms</t>
  </si>
  <si>
    <t>A-11</t>
  </si>
  <si>
    <t>Status page updates / customer comm templates</t>
  </si>
  <si>
    <t>A-12</t>
  </si>
  <si>
    <t>Timeline capture for PIR</t>
  </si>
  <si>
    <t>A-13</t>
  </si>
  <si>
    <t>Teams “war room” creation from ticket</t>
  </si>
  <si>
    <t>A-14</t>
  </si>
  <si>
    <t>Request</t>
  </si>
  <si>
    <t>Role-aware service catalog items and bundles</t>
  </si>
  <si>
    <t>A-15</t>
  </si>
  <si>
    <t>Dynamic forms with conditional questions</t>
  </si>
  <si>
    <t>A-16</t>
  </si>
  <si>
    <t>Manager/HR attribute-based approval routing</t>
  </si>
  <si>
    <t>A-17</t>
  </si>
  <si>
    <t>Auto-escalation and delegation for approvals</t>
  </si>
  <si>
    <t>A-18</t>
  </si>
  <si>
    <t>Task plans per catalog item with SLAs</t>
  </si>
  <si>
    <t>A-19</t>
  </si>
  <si>
    <t>Zero-touch fulfillment via Intune/MECM orchestration (where feasible)</t>
  </si>
  <si>
    <t>A-20</t>
  </si>
  <si>
    <t>Generative AI to suggest catalog items to request using natural language.</t>
  </si>
  <si>
    <t>A-21</t>
  </si>
  <si>
    <t>Low-code workflow designer (human/system tasks)</t>
  </si>
  <si>
    <t>A-22</t>
  </si>
  <si>
    <t>Knowledge</t>
  </si>
  <si>
    <t>KCS-aligned article templates and lifecycle states</t>
  </si>
  <si>
    <t>A-23</t>
  </si>
  <si>
    <t>Article feedback/ratings and quality review workflow</t>
  </si>
  <si>
    <t>A-24</t>
  </si>
  <si>
    <t>Tunable search relevance and synonyms</t>
  </si>
  <si>
    <t>A-25</t>
  </si>
  <si>
    <t>In-context suggested articles to agents/requesters</t>
  </si>
  <si>
    <t>A-26</t>
  </si>
  <si>
    <t>Deflection and reuse analytics</t>
  </si>
  <si>
    <t>A-27</t>
  </si>
  <si>
    <t>Generative AI to assist drafting and improveing articles based on resolved incidents and problems</t>
  </si>
  <si>
    <t>A-28</t>
  </si>
  <si>
    <t>Problem</t>
  </si>
  <si>
    <t>Create problem from incident; link related records</t>
  </si>
  <si>
    <t>A-29</t>
  </si>
  <si>
    <t>Known error DB with workaround management</t>
  </si>
  <si>
    <t>A-30</t>
  </si>
  <si>
    <t>Trend clustering / recurrence reporting</t>
  </si>
  <si>
    <t>A-31</t>
  </si>
  <si>
    <t>Publish workaround to knowledge with one action</t>
  </si>
  <si>
    <t>A-32</t>
  </si>
  <si>
    <t>Root cause capture with standard techniques (e.g., 5 Whys)</t>
  </si>
  <si>
    <t>A-33</t>
  </si>
  <si>
    <t xml:space="preserve">Generative AI to identify recurring incident patterns and suggest candidate problems. </t>
  </si>
  <si>
    <t>A-34</t>
  </si>
  <si>
    <t>Change</t>
  </si>
  <si>
    <t>Standard/normal/emergency models</t>
  </si>
  <si>
    <t>A-35</t>
  </si>
  <si>
    <t>Automated risk scoring using form inputs and CI/service data</t>
  </si>
  <si>
    <t>A-36</t>
  </si>
  <si>
    <t>CAB workflow with approvals</t>
  </si>
  <si>
    <t>A-37</t>
  </si>
  <si>
    <t>Change calendar with blackout/maintenance windows</t>
  </si>
  <si>
    <t>A-38</t>
  </si>
  <si>
    <t>Conflict detection against CI/service dependencies</t>
  </si>
  <si>
    <t>A-39</t>
  </si>
  <si>
    <t>Post-implementation verification checklist</t>
  </si>
  <si>
    <t>A-40</t>
  </si>
  <si>
    <t>Mandatory PIR for high-risk/failed changes</t>
  </si>
  <si>
    <t>A-41</t>
  </si>
  <si>
    <t>Standard change templates with auto-approval</t>
  </si>
  <si>
    <t>A-42</t>
  </si>
  <si>
    <t>CMDB</t>
  </si>
  <si>
    <t>Service-centric modeling (business ↔ apps ↔ infrastructure)</t>
  </si>
  <si>
    <t>A-43</t>
  </si>
  <si>
    <t>Service mapping</t>
  </si>
  <si>
    <t>A-44</t>
  </si>
  <si>
    <t>CI attribute governance: minimal viable attributes</t>
  </si>
  <si>
    <t>A-45</t>
  </si>
  <si>
    <t>CI ownership and stewardship fields</t>
  </si>
  <si>
    <t>A-46</t>
  </si>
  <si>
    <t>Discovery/integration/import for CI data</t>
  </si>
  <si>
    <t>A-47</t>
  </si>
  <si>
    <t>Federation supported for volatile/authoritative attributes</t>
  </si>
  <si>
    <t>A-48</t>
  </si>
  <si>
    <t>Reconciliation/deduplication rules</t>
  </si>
  <si>
    <t>A-49</t>
  </si>
  <si>
    <t>Change-controlled updates with audit history</t>
  </si>
  <si>
    <t>A-50</t>
  </si>
  <si>
    <t>Asset Integration</t>
  </si>
  <si>
    <t>Sync device inventory from Microsoft Intune, Cisco Catalyst, and AD</t>
  </si>
  <si>
    <t>A-51</t>
  </si>
  <si>
    <t>Sync device inventory from MECM/ConfigMgr (if applicable)</t>
  </si>
  <si>
    <t>A-52</t>
  </si>
  <si>
    <t>Show asset owner/location/warranty when available</t>
  </si>
  <si>
    <t>A-53</t>
  </si>
  <si>
    <t>Link assets/CIs to incidents, requests, and changes</t>
  </si>
  <si>
    <t>A-54</t>
  </si>
  <si>
    <t>Display device compliance state from Intune</t>
  </si>
  <si>
    <t>A-55</t>
  </si>
  <si>
    <t>Deep link from ticket to device action (where supported)</t>
  </si>
  <si>
    <t>A-56</t>
  </si>
  <si>
    <t>Automation</t>
  </si>
  <si>
    <t>Event-driven triggers (webhooks/queues/email)</t>
  </si>
  <si>
    <t>A-57</t>
  </si>
  <si>
    <t>Outbound REST/SOAP calls with retries/error handling</t>
  </si>
  <si>
    <t>A-58</t>
  </si>
  <si>
    <t>Reusable runbooks callable from records</t>
  </si>
  <si>
    <t>A-59</t>
  </si>
  <si>
    <t>Secrets/credential management for automations</t>
  </si>
  <si>
    <t>A-60</t>
  </si>
  <si>
    <t>Execution logs and monitoring</t>
  </si>
  <si>
    <t>A-61</t>
  </si>
  <si>
    <t>Reporting</t>
  </si>
  <si>
    <t>Real-time dashboards (SLA attainment, backlog, CSAT, MTTR)</t>
  </si>
  <si>
    <t>A-62</t>
  </si>
  <si>
    <t>Change success rate and incident trend reports</t>
  </si>
  <si>
    <t>A-63</t>
  </si>
  <si>
    <t>Ad-hoc report builder for analysts</t>
  </si>
  <si>
    <t>A-64</t>
  </si>
  <si>
    <t>Scheduled reports and subscriptions</t>
  </si>
  <si>
    <t>A-65</t>
  </si>
  <si>
    <t>Export via OData/CSV/REST for Power BI</t>
  </si>
  <si>
    <t>A-66</t>
  </si>
  <si>
    <t>CMDB/asset data quality scores</t>
  </si>
  <si>
    <t>A-67</t>
  </si>
  <si>
    <t>UX</t>
  </si>
  <si>
    <t>Branded self-service portal (role-aware content)</t>
  </si>
  <si>
    <t>A-68</t>
  </si>
  <si>
    <t>Guest access option for citizens (where applicable)</t>
  </si>
  <si>
    <t>A-69</t>
  </si>
  <si>
    <t>Mobile apps for agents and requesters</t>
  </si>
  <si>
    <t>A-70</t>
  </si>
  <si>
    <t>WCAG 2.1 AA accessibility conformance</t>
  </si>
  <si>
    <t>A-71</t>
  </si>
  <si>
    <t>Localization/time-zone awareness</t>
  </si>
  <si>
    <t>A-72</t>
  </si>
  <si>
    <t>Generative AI to provide conversational assistance to helps users submit requets and incidents</t>
  </si>
  <si>
    <t>A-73</t>
  </si>
  <si>
    <t>Administration</t>
  </si>
  <si>
    <t>Dev/Test/Prod environments with promotion/versioning</t>
  </si>
  <si>
    <t>A-74</t>
  </si>
  <si>
    <t>RBAC/ABAC and field-level security</t>
  </si>
  <si>
    <t>A-75</t>
  </si>
  <si>
    <t>Configuration baseline/version history</t>
  </si>
  <si>
    <t>A-76</t>
  </si>
  <si>
    <t>Audit trails for configuration/data/user activity</t>
  </si>
  <si>
    <t>A-77</t>
  </si>
  <si>
    <t>Upgrade windows with backward-compatibility guidance</t>
  </si>
  <si>
    <t>A-78</t>
  </si>
  <si>
    <t>Admin effort supports 1–3 FTEs steady state</t>
  </si>
  <si>
    <t>A-79</t>
  </si>
  <si>
    <t>Integrations</t>
  </si>
  <si>
    <t>SSO via SAML and/or OIDC</t>
  </si>
  <si>
    <t>A-80</t>
  </si>
  <si>
    <t>SCIM (or equivalent) user/group provisioning</t>
  </si>
  <si>
    <t>A-81</t>
  </si>
  <si>
    <t>Microsoft 365/Exchange email integration</t>
  </si>
  <si>
    <t>A-82</t>
  </si>
  <si>
    <t>Microsoft Teams notifications and message actions</t>
  </si>
  <si>
    <t>A-83</t>
  </si>
  <si>
    <t>REST APIs (read/write) with rate limits documented</t>
  </si>
  <si>
    <t>A-84</t>
  </si>
  <si>
    <t>Inbound webhooks and scheduled data imports/exports</t>
  </si>
  <si>
    <t>A-85</t>
  </si>
  <si>
    <t>Security/Compliance</t>
  </si>
  <si>
    <t>Encryption in transit and at rest</t>
  </si>
  <si>
    <t>A-86</t>
  </si>
  <si>
    <t>SOC 2 Type II attestation</t>
  </si>
  <si>
    <t>A-87</t>
  </si>
  <si>
    <t>Resilience</t>
  </si>
  <si>
    <t>Documented DR targets (RPO/RTO)</t>
  </si>
  <si>
    <t>A-88</t>
  </si>
  <si>
    <t>Platform uptime SLA and public status page</t>
  </si>
  <si>
    <t>A-89</t>
  </si>
  <si>
    <t>Mobile Application</t>
  </si>
  <si>
    <t>Submit incidents and service requests with real time status visibility</t>
  </si>
  <si>
    <t>A-90</t>
  </si>
  <si>
    <t>Search, browse, and view knowledge articles</t>
  </si>
  <si>
    <t>A-91</t>
  </si>
  <si>
    <t>Update and resolve/close incidents and requests</t>
  </si>
  <si>
    <t>A-92</t>
  </si>
  <si>
    <t>Approvers can receive, approve and reject requests.</t>
  </si>
  <si>
    <t>A-93</t>
  </si>
  <si>
    <t>Push notification for approvals, status changes, SLA breaches and major incident communications</t>
  </si>
  <si>
    <t>A-94</t>
  </si>
  <si>
    <t>Hardware Asset</t>
  </si>
  <si>
    <t>Reconcile hardware assets to avoid duplication</t>
  </si>
  <si>
    <t>A-95</t>
  </si>
  <si>
    <t>Link Assets to CI's, services, owners, locations, incidents, changes, requests, and problems</t>
  </si>
  <si>
    <t>A-96</t>
  </si>
  <si>
    <t>Basic barcode/QR code to manage strockrooms</t>
  </si>
  <si>
    <t>A-97</t>
  </si>
  <si>
    <t>Stock locations with ability to transfer to owners and other stockrooms</t>
  </si>
  <si>
    <t>A-98</t>
  </si>
  <si>
    <t>Auto update ownership with new hire/transfer/termination</t>
  </si>
  <si>
    <t>A-99</t>
  </si>
  <si>
    <t>Track warranty/coverage dates and flag orphaned assets</t>
  </si>
  <si>
    <t>A-100</t>
  </si>
  <si>
    <t>Software Asset</t>
  </si>
  <si>
    <t>Maintain software entitlements and map to users</t>
  </si>
  <si>
    <t>A-101</t>
  </si>
  <si>
    <t>A-102</t>
  </si>
  <si>
    <t>Track software agreements and subscription renewal dates</t>
  </si>
  <si>
    <t>Totals:</t>
  </si>
  <si>
    <t>By signing below the submitter verifies the accuracy of all information provided by its firm  in this Response Matrix</t>
  </si>
  <si>
    <t>Submitted by: _________________________________________________________</t>
  </si>
  <si>
    <t>(Company Name)</t>
  </si>
  <si>
    <t>Authorized Signature: ___________________________________________________</t>
  </si>
  <si>
    <t>Printed Name of Authorized Signature: ________________________________________</t>
  </si>
  <si>
    <t>Date: _______________</t>
  </si>
  <si>
    <t>Items</t>
  </si>
  <si>
    <t>Max</t>
  </si>
  <si>
    <t>Achieved %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</si>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</sst>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F6F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2" borderId="0" xfId="0" applyFont="1" applyFill="1" applyProtection="1"/>
    <xf numFmtId="0" fontId="0" fillId="0" borderId="0" xfId="0" applyProtection="1"/>
    <xf numFmtId="9" fontId="0" fillId="0" borderId="0" xfId="0" applyNumberFormat="1" applyProtection="1"/>
    <xf numFmtId="10" fontId="0" fillId="0" borderId="0" xfId="0" applyNumberFormat="1" applyProtection="1"/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selection activeCell="A2" sqref="A2"/>
    </sheetView>
  </sheetViews>
  <sheetFormatPr defaultRowHeight="15" x14ac:dyDescent="0.25"/>
  <sheetData>
    <row r="1" spans="1:3" ht="18.75" x14ac:dyDescent="0.3">
      <c r="A1" s="1" t="s">
        <v>0</v>
      </c>
    </row>
    <row r="3" spans="1:3" x14ac:dyDescent="0.25">
      <c r="A3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B6" t="s">
        <v>4</v>
      </c>
      <c r="C6" t="s">
        <v>5</v>
      </c>
    </row>
    <row r="7" spans="1:3" x14ac:dyDescent="0.25">
      <c r="B7" t="s">
        <v>6</v>
      </c>
      <c r="C7" t="s">
        <v>7</v>
      </c>
    </row>
    <row r="8" spans="1:3" x14ac:dyDescent="0.25">
      <c r="B8" t="s">
        <v>8</v>
      </c>
      <c r="C8" t="s">
        <v>9</v>
      </c>
    </row>
    <row r="9" spans="1:3" x14ac:dyDescent="0.25">
      <c r="B9" t="s">
        <v>10</v>
      </c>
      <c r="C9" t="s">
        <v>11</v>
      </c>
    </row>
    <row r="10" spans="1:3" x14ac:dyDescent="0.25">
      <c r="B10" t="s">
        <v>12</v>
      </c>
      <c r="C10" t="s">
        <v>13</v>
      </c>
    </row>
    <row r="11" spans="1:3" x14ac:dyDescent="0.25">
      <c r="B11" t="s">
        <v>14</v>
      </c>
      <c r="C11" t="s">
        <v>15</v>
      </c>
    </row>
    <row r="12" spans="1:3" x14ac:dyDescent="0.25">
      <c r="A12" t="s">
        <v>16</v>
      </c>
    </row>
    <row r="13" spans="1:3" x14ac:dyDescent="0.25">
      <c r="A13" t="s">
        <v>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24.42578125" customWidth="1"/>
  </cols>
  <sheetData>
    <row r="1" spans="1:6" x14ac:dyDescent="0.25">
      <c r="A1" t="s">
        <v>18</v>
      </c>
      <c r="B1" t="s">
        <v>19</v>
      </c>
      <c r="C1" t="s">
        <v>20</v>
      </c>
      <c r="E1" t="s">
        <v>21</v>
      </c>
    </row>
    <row r="2" spans="1:6" x14ac:dyDescent="0.25">
      <c r="A2" t="s">
        <v>22</v>
      </c>
      <c r="B2">
        <v>5</v>
      </c>
      <c r="C2">
        <v>3</v>
      </c>
      <c r="E2" t="s">
        <v>23</v>
      </c>
      <c r="F2">
        <v>5</v>
      </c>
    </row>
    <row r="3" spans="1:6" x14ac:dyDescent="0.25">
      <c r="A3" t="s">
        <v>7</v>
      </c>
      <c r="B3">
        <v>4</v>
      </c>
      <c r="C3">
        <v>2</v>
      </c>
      <c r="E3" t="s">
        <v>24</v>
      </c>
      <c r="F3">
        <v>3</v>
      </c>
    </row>
    <row r="4" spans="1:6" x14ac:dyDescent="0.25">
      <c r="A4" t="s">
        <v>9</v>
      </c>
      <c r="B4">
        <v>3</v>
      </c>
      <c r="C4">
        <v>1.5</v>
      </c>
    </row>
    <row r="5" spans="1:6" x14ac:dyDescent="0.25">
      <c r="A5" t="s">
        <v>11</v>
      </c>
      <c r="B5">
        <v>2</v>
      </c>
      <c r="C5">
        <v>1</v>
      </c>
    </row>
    <row r="6" spans="1:6" x14ac:dyDescent="0.25">
      <c r="A6" t="s">
        <v>25</v>
      </c>
      <c r="B6">
        <v>1</v>
      </c>
      <c r="C6">
        <v>0.5</v>
      </c>
    </row>
    <row r="7" spans="1:6" x14ac:dyDescent="0.25">
      <c r="A7" t="s">
        <v>13</v>
      </c>
      <c r="B7">
        <v>0</v>
      </c>
      <c r="C7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9"/>
  <sheetViews>
    <sheetView topLeftCell="C1" workbookViewId="0">
      <pane ySplit="2" topLeftCell="A85" activePane="bottomLeft" state="frozen"/>
      <selection pane="bottomLeft" activeCell="H2" sqref="H2:J106"/>
    </sheetView>
  </sheetViews>
  <sheetFormatPr defaultRowHeight="15" x14ac:dyDescent="0.25"/>
  <cols>
    <col min="1" max="1" width="10" customWidth="1"/>
    <col min="2" max="2" width="18" customWidth="1"/>
    <col min="3" max="3" width="100.42578125" customWidth="1"/>
    <col min="4" max="4" width="10" customWidth="1"/>
    <col min="5" max="5" width="17.85546875" bestFit="1" customWidth="1"/>
    <col min="6" max="6" width="30" customWidth="1"/>
    <col min="7" max="7" width="28" customWidth="1"/>
    <col min="8" max="8" width="10" customWidth="1"/>
    <col min="9" max="9" width="12" customWidth="1"/>
    <col min="10" max="10" width="10" customWidth="1"/>
  </cols>
  <sheetData>
    <row r="1" spans="1:10" ht="58.5" customHeight="1" x14ac:dyDescent="0.45">
      <c r="C1" s="5" t="s">
        <v>26</v>
      </c>
    </row>
    <row r="2" spans="1:10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18</v>
      </c>
      <c r="F2" s="3" t="s">
        <v>31</v>
      </c>
      <c r="G2" s="3" t="s">
        <v>32</v>
      </c>
      <c r="H2" s="8" t="s">
        <v>33</v>
      </c>
      <c r="I2" s="8" t="s">
        <v>21</v>
      </c>
      <c r="J2" s="8" t="s">
        <v>34</v>
      </c>
    </row>
    <row r="3" spans="1:10" x14ac:dyDescent="0.25">
      <c r="A3" t="s">
        <v>35</v>
      </c>
      <c r="B3" t="s">
        <v>36</v>
      </c>
      <c r="C3" t="s">
        <v>37</v>
      </c>
      <c r="D3" t="s">
        <v>23</v>
      </c>
      <c r="H3" s="9" t="str">
        <f>IF(E3="","",IF(D3="Must",VLOOKUP(E3,Scoring!$A$2:$C$7,2,FALSE),VLOOKUP(E3,Scoring!$A$2:$C$7,3,FALSE)))</f>
        <v/>
      </c>
      <c r="I3" s="9">
        <f>IF(D3="Must",Scoring!$F$2,Scoring!$F$3)</f>
        <v>5</v>
      </c>
      <c r="J3" s="10" t="str">
        <f t="shared" ref="J3:J39" si="0">IF(I3=0,"",IF(H3="","",H3/I3))</f>
        <v/>
      </c>
    </row>
    <row r="4" spans="1:10" x14ac:dyDescent="0.25">
      <c r="A4" t="s">
        <v>38</v>
      </c>
      <c r="B4" t="s">
        <v>36</v>
      </c>
      <c r="C4" t="s">
        <v>39</v>
      </c>
      <c r="D4" t="s">
        <v>24</v>
      </c>
      <c r="H4" s="9" t="str">
        <f>IF(E4="","",IF(D4="Must",VLOOKUP(E4,Scoring!$A$2:$C$7,2,FALSE),VLOOKUP(E4,Scoring!$A$2:$C$7,3,FALSE)))</f>
        <v/>
      </c>
      <c r="I4" s="9">
        <f>IF(D4="Must",Scoring!$F$2,Scoring!$F$3)</f>
        <v>3</v>
      </c>
      <c r="J4" s="10" t="str">
        <f t="shared" si="0"/>
        <v/>
      </c>
    </row>
    <row r="5" spans="1:10" x14ac:dyDescent="0.25">
      <c r="A5" t="s">
        <v>40</v>
      </c>
      <c r="B5" t="s">
        <v>36</v>
      </c>
      <c r="C5" t="s">
        <v>41</v>
      </c>
      <c r="D5" t="s">
        <v>23</v>
      </c>
      <c r="H5" s="9" t="str">
        <f>IF(E5="","",IF(D5="Must",VLOOKUP(E5,Scoring!$A$2:$C$7,2,FALSE),VLOOKUP(E5,Scoring!$A$2:$C$7,3,FALSE)))</f>
        <v/>
      </c>
      <c r="I5" s="9">
        <f>IF(D5="Must",Scoring!$F$2,Scoring!$F$3)</f>
        <v>5</v>
      </c>
      <c r="J5" s="10" t="str">
        <f t="shared" si="0"/>
        <v/>
      </c>
    </row>
    <row r="6" spans="1:10" x14ac:dyDescent="0.25">
      <c r="A6" t="s">
        <v>42</v>
      </c>
      <c r="B6" t="s">
        <v>36</v>
      </c>
      <c r="C6" t="s">
        <v>43</v>
      </c>
      <c r="D6" t="s">
        <v>23</v>
      </c>
      <c r="H6" s="9" t="str">
        <f>IF(E6="","",IF(D6="Must",VLOOKUP(E6,Scoring!$A$2:$C$7,2,FALSE),VLOOKUP(E6,Scoring!$A$2:$C$7,3,FALSE)))</f>
        <v/>
      </c>
      <c r="I6" s="9">
        <f>IF(D6="Must",Scoring!$F$2,Scoring!$F$3)</f>
        <v>5</v>
      </c>
      <c r="J6" s="10" t="str">
        <f t="shared" si="0"/>
        <v/>
      </c>
    </row>
    <row r="7" spans="1:10" x14ac:dyDescent="0.25">
      <c r="A7" t="s">
        <v>44</v>
      </c>
      <c r="B7" t="s">
        <v>36</v>
      </c>
      <c r="C7" t="s">
        <v>45</v>
      </c>
      <c r="D7" t="s">
        <v>23</v>
      </c>
      <c r="H7" s="9" t="str">
        <f>IF(E7="","",IF(D7="Must",VLOOKUP(E7,Scoring!$A$2:$C$7,2,FALSE),VLOOKUP(E7,Scoring!$A$2:$C$7,3,FALSE)))</f>
        <v/>
      </c>
      <c r="I7" s="9">
        <f>IF(D7="Must",Scoring!$F$2,Scoring!$F$3)</f>
        <v>5</v>
      </c>
      <c r="J7" s="10" t="str">
        <f t="shared" si="0"/>
        <v/>
      </c>
    </row>
    <row r="8" spans="1:10" x14ac:dyDescent="0.25">
      <c r="A8" t="s">
        <v>46</v>
      </c>
      <c r="B8" t="s">
        <v>36</v>
      </c>
      <c r="C8" t="s">
        <v>47</v>
      </c>
      <c r="D8" t="s">
        <v>23</v>
      </c>
      <c r="H8" s="9" t="str">
        <f>IF(E8="","",IF(D8="Must",VLOOKUP(E8,Scoring!$A$2:$C$7,2,FALSE),VLOOKUP(E8,Scoring!$A$2:$C$7,3,FALSE)))</f>
        <v/>
      </c>
      <c r="I8" s="9">
        <f>IF(D8="Must",Scoring!$F$2,Scoring!$F$3)</f>
        <v>5</v>
      </c>
      <c r="J8" s="10" t="str">
        <f t="shared" si="0"/>
        <v/>
      </c>
    </row>
    <row r="9" spans="1:10" x14ac:dyDescent="0.25">
      <c r="A9" t="s">
        <v>48</v>
      </c>
      <c r="B9" t="s">
        <v>36</v>
      </c>
      <c r="C9" t="s">
        <v>49</v>
      </c>
      <c r="D9" t="s">
        <v>24</v>
      </c>
      <c r="H9" s="9" t="str">
        <f>IF(E9="","",IF(D9="Must",VLOOKUP(E9,Scoring!$A$2:$C$7,2,FALSE),VLOOKUP(E9,Scoring!$A$2:$C$7,3,FALSE)))</f>
        <v/>
      </c>
      <c r="I9" s="9">
        <f>IF(D9="Must",Scoring!$F$2,Scoring!$F$3)</f>
        <v>3</v>
      </c>
      <c r="J9" s="10" t="str">
        <f t="shared" si="0"/>
        <v/>
      </c>
    </row>
    <row r="10" spans="1:10" x14ac:dyDescent="0.25">
      <c r="A10" t="s">
        <v>50</v>
      </c>
      <c r="B10" t="s">
        <v>36</v>
      </c>
      <c r="C10" t="s">
        <v>51</v>
      </c>
      <c r="D10" t="s">
        <v>24</v>
      </c>
      <c r="H10" s="9"/>
      <c r="I10" s="9">
        <v>3</v>
      </c>
      <c r="J10" s="10"/>
    </row>
    <row r="11" spans="1:10" x14ac:dyDescent="0.25">
      <c r="A11" t="s">
        <v>52</v>
      </c>
      <c r="B11" t="s">
        <v>36</v>
      </c>
      <c r="C11" t="s">
        <v>53</v>
      </c>
      <c r="D11" t="s">
        <v>24</v>
      </c>
      <c r="H11" s="9" t="str">
        <f>IF(E11="","",IF(D11="Must",VLOOKUP(E11,Scoring!$A$2:$C$7,2,FALSE),VLOOKUP(E11,Scoring!$A$2:$C$7,3,FALSE)))</f>
        <v/>
      </c>
      <c r="I11" s="9">
        <f>IF(D11="Must",Scoring!$F$2,Scoring!$F$3)</f>
        <v>3</v>
      </c>
      <c r="J11" s="10" t="str">
        <f t="shared" si="0"/>
        <v/>
      </c>
    </row>
    <row r="12" spans="1:10" x14ac:dyDescent="0.25">
      <c r="A12" t="s">
        <v>54</v>
      </c>
      <c r="B12" t="s">
        <v>55</v>
      </c>
      <c r="C12" t="s">
        <v>56</v>
      </c>
      <c r="D12" t="s">
        <v>24</v>
      </c>
      <c r="H12" s="9" t="str">
        <f>IF(E12="","",IF(D12="Must",VLOOKUP(E12,Scoring!$A$2:$C$7,2,FALSE),VLOOKUP(E12,Scoring!$A$2:$C$7,3,FALSE)))</f>
        <v/>
      </c>
      <c r="I12" s="9">
        <f>IF(D12="Must",Scoring!$F$2,Scoring!$F$3)</f>
        <v>3</v>
      </c>
      <c r="J12" s="10" t="str">
        <f t="shared" si="0"/>
        <v/>
      </c>
    </row>
    <row r="13" spans="1:10" x14ac:dyDescent="0.25">
      <c r="A13" t="s">
        <v>57</v>
      </c>
      <c r="B13" t="s">
        <v>55</v>
      </c>
      <c r="C13" t="s">
        <v>58</v>
      </c>
      <c r="D13" t="s">
        <v>24</v>
      </c>
      <c r="H13" s="9" t="str">
        <f>IF(E13="","",IF(D13="Must",VLOOKUP(E13,Scoring!$A$2:$C$7,2,FALSE),VLOOKUP(E13,Scoring!$A$2:$C$7,3,FALSE)))</f>
        <v/>
      </c>
      <c r="I13" s="9">
        <f>IF(D13="Must",Scoring!$F$2,Scoring!$F$3)</f>
        <v>3</v>
      </c>
      <c r="J13" s="10" t="str">
        <f t="shared" si="0"/>
        <v/>
      </c>
    </row>
    <row r="14" spans="1:10" x14ac:dyDescent="0.25">
      <c r="A14" t="s">
        <v>59</v>
      </c>
      <c r="B14" t="s">
        <v>55</v>
      </c>
      <c r="C14" t="s">
        <v>60</v>
      </c>
      <c r="D14" t="s">
        <v>24</v>
      </c>
      <c r="H14" s="9" t="str">
        <f>IF(E14="","",IF(D14="Must",VLOOKUP(E14,Scoring!$A$2:$C$7,2,FALSE),VLOOKUP(E14,Scoring!$A$2:$C$7,3,FALSE)))</f>
        <v/>
      </c>
      <c r="I14" s="9">
        <f>IF(D14="Must",Scoring!$F$2,Scoring!$F$3)</f>
        <v>3</v>
      </c>
      <c r="J14" s="10" t="str">
        <f t="shared" si="0"/>
        <v/>
      </c>
    </row>
    <row r="15" spans="1:10" x14ac:dyDescent="0.25">
      <c r="A15" t="s">
        <v>61</v>
      </c>
      <c r="B15" t="s">
        <v>55</v>
      </c>
      <c r="C15" t="s">
        <v>62</v>
      </c>
      <c r="D15" t="s">
        <v>24</v>
      </c>
      <c r="H15" s="9" t="str">
        <f>IF(E15="","",IF(D15="Must",VLOOKUP(E15,Scoring!$A$2:$C$7,2,FALSE),VLOOKUP(E15,Scoring!$A$2:$C$7,3,FALSE)))</f>
        <v/>
      </c>
      <c r="I15" s="9">
        <f>IF(D15="Must",Scoring!$F$2,Scoring!$F$3)</f>
        <v>3</v>
      </c>
      <c r="J15" s="10" t="str">
        <f t="shared" si="0"/>
        <v/>
      </c>
    </row>
    <row r="16" spans="1:10" x14ac:dyDescent="0.25">
      <c r="A16" t="s">
        <v>63</v>
      </c>
      <c r="B16" t="s">
        <v>64</v>
      </c>
      <c r="C16" t="s">
        <v>65</v>
      </c>
      <c r="D16" t="s">
        <v>23</v>
      </c>
      <c r="H16" s="9" t="str">
        <f>IF(E16="","",IF(D16="Must",VLOOKUP(E16,Scoring!$A$2:$C$7,2,FALSE),VLOOKUP(E16,Scoring!$A$2:$C$7,3,FALSE)))</f>
        <v/>
      </c>
      <c r="I16" s="9">
        <f>IF(D16="Must",Scoring!$F$2,Scoring!$F$3)</f>
        <v>5</v>
      </c>
      <c r="J16" s="10" t="str">
        <f t="shared" si="0"/>
        <v/>
      </c>
    </row>
    <row r="17" spans="1:10" x14ac:dyDescent="0.25">
      <c r="A17" t="s">
        <v>66</v>
      </c>
      <c r="B17" t="s">
        <v>64</v>
      </c>
      <c r="C17" t="s">
        <v>67</v>
      </c>
      <c r="D17" t="s">
        <v>23</v>
      </c>
      <c r="H17" s="9" t="str">
        <f>IF(E17="","",IF(D17="Must",VLOOKUP(E17,Scoring!$A$2:$C$7,2,FALSE),VLOOKUP(E17,Scoring!$A$2:$C$7,3,FALSE)))</f>
        <v/>
      </c>
      <c r="I17" s="9">
        <f>IF(D17="Must",Scoring!$F$2,Scoring!$F$3)</f>
        <v>5</v>
      </c>
      <c r="J17" s="10" t="str">
        <f t="shared" si="0"/>
        <v/>
      </c>
    </row>
    <row r="18" spans="1:10" x14ac:dyDescent="0.25">
      <c r="A18" t="s">
        <v>68</v>
      </c>
      <c r="B18" t="s">
        <v>64</v>
      </c>
      <c r="C18" t="s">
        <v>69</v>
      </c>
      <c r="D18" t="s">
        <v>23</v>
      </c>
      <c r="H18" s="9" t="str">
        <f>IF(E18="","",IF(D18="Must",VLOOKUP(E18,Scoring!$A$2:$C$7,2,FALSE),VLOOKUP(E18,Scoring!$A$2:$C$7,3,FALSE)))</f>
        <v/>
      </c>
      <c r="I18" s="9">
        <f>IF(D18="Must",Scoring!$F$2,Scoring!$F$3)</f>
        <v>5</v>
      </c>
      <c r="J18" s="10" t="str">
        <f t="shared" si="0"/>
        <v/>
      </c>
    </row>
    <row r="19" spans="1:10" x14ac:dyDescent="0.25">
      <c r="A19" t="s">
        <v>70</v>
      </c>
      <c r="B19" t="s">
        <v>64</v>
      </c>
      <c r="C19" t="s">
        <v>71</v>
      </c>
      <c r="D19" t="s">
        <v>24</v>
      </c>
      <c r="H19" s="9" t="str">
        <f>IF(E19="","",IF(D19="Must",VLOOKUP(E19,Scoring!$A$2:$C$7,2,FALSE),VLOOKUP(E19,Scoring!$A$2:$C$7,3,FALSE)))</f>
        <v/>
      </c>
      <c r="I19" s="9">
        <f>IF(D19="Must",Scoring!$F$2,Scoring!$F$3)</f>
        <v>3</v>
      </c>
      <c r="J19" s="10" t="str">
        <f t="shared" si="0"/>
        <v/>
      </c>
    </row>
    <row r="20" spans="1:10" x14ac:dyDescent="0.25">
      <c r="A20" t="s">
        <v>72</v>
      </c>
      <c r="B20" t="s">
        <v>64</v>
      </c>
      <c r="C20" t="s">
        <v>73</v>
      </c>
      <c r="D20" t="s">
        <v>23</v>
      </c>
      <c r="H20" s="9" t="str">
        <f>IF(E20="","",IF(D20="Must",VLOOKUP(E20,Scoring!$A$2:$C$7,2,FALSE),VLOOKUP(E20,Scoring!$A$2:$C$7,3,FALSE)))</f>
        <v/>
      </c>
      <c r="I20" s="9">
        <f>IF(D20="Must",Scoring!$F$2,Scoring!$F$3)</f>
        <v>5</v>
      </c>
      <c r="J20" s="10" t="str">
        <f t="shared" si="0"/>
        <v/>
      </c>
    </row>
    <row r="21" spans="1:10" x14ac:dyDescent="0.25">
      <c r="A21" t="s">
        <v>74</v>
      </c>
      <c r="B21" t="s">
        <v>64</v>
      </c>
      <c r="C21" t="s">
        <v>75</v>
      </c>
      <c r="D21" t="s">
        <v>24</v>
      </c>
      <c r="H21" s="9" t="str">
        <f>IF(E21="","",IF(D21="Must",VLOOKUP(E21,Scoring!$A$2:$C$7,2,FALSE),VLOOKUP(E21,Scoring!$A$2:$C$7,3,FALSE)))</f>
        <v/>
      </c>
      <c r="I21" s="9">
        <f>IF(D21="Must",Scoring!$F$2,Scoring!$F$3)</f>
        <v>3</v>
      </c>
      <c r="J21" s="10" t="str">
        <f t="shared" si="0"/>
        <v/>
      </c>
    </row>
    <row r="22" spans="1:10" x14ac:dyDescent="0.25">
      <c r="A22" t="s">
        <v>76</v>
      </c>
      <c r="B22" t="s">
        <v>64</v>
      </c>
      <c r="C22" t="s">
        <v>77</v>
      </c>
      <c r="D22" t="s">
        <v>24</v>
      </c>
      <c r="H22" s="9"/>
      <c r="I22" s="9">
        <v>3</v>
      </c>
      <c r="J22" s="10"/>
    </row>
    <row r="23" spans="1:10" x14ac:dyDescent="0.25">
      <c r="A23" t="s">
        <v>78</v>
      </c>
      <c r="B23" t="s">
        <v>64</v>
      </c>
      <c r="C23" t="s">
        <v>79</v>
      </c>
      <c r="D23" t="s">
        <v>23</v>
      </c>
      <c r="H23" s="9" t="str">
        <f>IF(E23="","",IF(D23="Must",VLOOKUP(E23,Scoring!$A$2:$C$7,2,FALSE),VLOOKUP(E23,Scoring!$A$2:$C$7,3,FALSE)))</f>
        <v/>
      </c>
      <c r="I23" s="9">
        <f>IF(D23="Must",Scoring!$F$2,Scoring!$F$3)</f>
        <v>5</v>
      </c>
      <c r="J23" s="10" t="str">
        <f t="shared" ref="J23" si="1">IF(I23=0,"",IF(H23="","",H23/I23))</f>
        <v/>
      </c>
    </row>
    <row r="24" spans="1:10" x14ac:dyDescent="0.25">
      <c r="A24" t="s">
        <v>80</v>
      </c>
      <c r="B24" t="s">
        <v>81</v>
      </c>
      <c r="C24" t="s">
        <v>82</v>
      </c>
      <c r="D24" t="s">
        <v>23</v>
      </c>
      <c r="H24" s="9" t="str">
        <f>IF(E24="","",IF(D24="Must",VLOOKUP(E24,Scoring!$A$2:$C$7,2,FALSE),VLOOKUP(E24,Scoring!$A$2:$C$7,3,FALSE)))</f>
        <v/>
      </c>
      <c r="I24" s="9">
        <f>IF(D24="Must",Scoring!$F$2,Scoring!$F$3)</f>
        <v>5</v>
      </c>
      <c r="J24" s="10" t="str">
        <f t="shared" si="0"/>
        <v/>
      </c>
    </row>
    <row r="25" spans="1:10" x14ac:dyDescent="0.25">
      <c r="A25" t="s">
        <v>83</v>
      </c>
      <c r="B25" t="s">
        <v>81</v>
      </c>
      <c r="C25" t="s">
        <v>84</v>
      </c>
      <c r="D25" t="s">
        <v>24</v>
      </c>
      <c r="H25" s="9" t="str">
        <f>IF(E25="","",IF(D25="Must",VLOOKUP(E25,Scoring!$A$2:$C$7,2,FALSE),VLOOKUP(E25,Scoring!$A$2:$C$7,3,FALSE)))</f>
        <v/>
      </c>
      <c r="I25" s="9">
        <f>IF(D25="Must",Scoring!$F$2,Scoring!$F$3)</f>
        <v>3</v>
      </c>
      <c r="J25" s="10" t="str">
        <f t="shared" si="0"/>
        <v/>
      </c>
    </row>
    <row r="26" spans="1:10" x14ac:dyDescent="0.25">
      <c r="A26" t="s">
        <v>85</v>
      </c>
      <c r="B26" t="s">
        <v>81</v>
      </c>
      <c r="C26" t="s">
        <v>86</v>
      </c>
      <c r="D26" t="s">
        <v>24</v>
      </c>
      <c r="H26" s="9" t="str">
        <f>IF(E26="","",IF(D26="Must",VLOOKUP(E26,Scoring!$A$2:$C$7,2,FALSE),VLOOKUP(E26,Scoring!$A$2:$C$7,3,FALSE)))</f>
        <v/>
      </c>
      <c r="I26" s="9">
        <f>IF(D26="Must",Scoring!$F$2,Scoring!$F$3)</f>
        <v>3</v>
      </c>
      <c r="J26" s="10" t="str">
        <f t="shared" si="0"/>
        <v/>
      </c>
    </row>
    <row r="27" spans="1:10" x14ac:dyDescent="0.25">
      <c r="A27" t="s">
        <v>87</v>
      </c>
      <c r="B27" t="s">
        <v>81</v>
      </c>
      <c r="C27" t="s">
        <v>88</v>
      </c>
      <c r="D27" t="s">
        <v>24</v>
      </c>
      <c r="H27" s="9" t="str">
        <f>IF(E27="","",IF(D27="Must",VLOOKUP(E27,Scoring!$A$2:$C$7,2,FALSE),VLOOKUP(E27,Scoring!$A$2:$C$7,3,FALSE)))</f>
        <v/>
      </c>
      <c r="I27" s="9">
        <f>IF(D27="Must",Scoring!$F$2,Scoring!$F$3)</f>
        <v>3</v>
      </c>
      <c r="J27" s="10" t="str">
        <f t="shared" si="0"/>
        <v/>
      </c>
    </row>
    <row r="28" spans="1:10" x14ac:dyDescent="0.25">
      <c r="A28" t="s">
        <v>89</v>
      </c>
      <c r="B28" t="s">
        <v>81</v>
      </c>
      <c r="C28" t="s">
        <v>90</v>
      </c>
      <c r="D28" t="s">
        <v>24</v>
      </c>
      <c r="H28" s="9" t="str">
        <f>IF(E28="","",IF(D28="Must",VLOOKUP(E28,Scoring!$A$2:$C$7,2,FALSE),VLOOKUP(E28,Scoring!$A$2:$C$7,3,FALSE)))</f>
        <v/>
      </c>
      <c r="I28" s="9">
        <f>IF(D28="Must",Scoring!$F$2,Scoring!$F$3)</f>
        <v>3</v>
      </c>
      <c r="J28" s="10" t="str">
        <f t="shared" si="0"/>
        <v/>
      </c>
    </row>
    <row r="29" spans="1:10" x14ac:dyDescent="0.25">
      <c r="A29" t="s">
        <v>91</v>
      </c>
      <c r="B29" t="s">
        <v>81</v>
      </c>
      <c r="C29" t="s">
        <v>92</v>
      </c>
      <c r="D29" t="s">
        <v>24</v>
      </c>
      <c r="H29" s="9"/>
      <c r="I29" s="9">
        <v>3</v>
      </c>
      <c r="J29" s="10"/>
    </row>
    <row r="30" spans="1:10" x14ac:dyDescent="0.25">
      <c r="A30" t="s">
        <v>93</v>
      </c>
      <c r="B30" t="s">
        <v>94</v>
      </c>
      <c r="C30" t="s">
        <v>95</v>
      </c>
      <c r="D30" t="s">
        <v>23</v>
      </c>
      <c r="H30" s="9" t="str">
        <f>IF(E30="","",IF(D30="Must",VLOOKUP(E30,Scoring!$A$2:$C$7,2,FALSE),VLOOKUP(E30,Scoring!$A$2:$C$7,3,FALSE)))</f>
        <v/>
      </c>
      <c r="I30" s="9">
        <f>IF(D30="Must",Scoring!$F$2,Scoring!$F$3)</f>
        <v>5</v>
      </c>
      <c r="J30" s="10" t="str">
        <f t="shared" si="0"/>
        <v/>
      </c>
    </row>
    <row r="31" spans="1:10" x14ac:dyDescent="0.25">
      <c r="A31" t="s">
        <v>96</v>
      </c>
      <c r="B31" t="s">
        <v>94</v>
      </c>
      <c r="C31" t="s">
        <v>97</v>
      </c>
      <c r="D31" t="s">
        <v>23</v>
      </c>
      <c r="H31" s="9" t="str">
        <f>IF(E31="","",IF(D31="Must",VLOOKUP(E31,Scoring!$A$2:$C$7,2,FALSE),VLOOKUP(E31,Scoring!$A$2:$C$7,3,FALSE)))</f>
        <v/>
      </c>
      <c r="I31" s="9">
        <f>IF(D31="Must",Scoring!$F$2,Scoring!$F$3)</f>
        <v>5</v>
      </c>
      <c r="J31" s="10" t="str">
        <f t="shared" si="0"/>
        <v/>
      </c>
    </row>
    <row r="32" spans="1:10" x14ac:dyDescent="0.25">
      <c r="A32" t="s">
        <v>98</v>
      </c>
      <c r="B32" t="s">
        <v>94</v>
      </c>
      <c r="C32" t="s">
        <v>99</v>
      </c>
      <c r="D32" t="s">
        <v>24</v>
      </c>
      <c r="H32" s="9" t="str">
        <f>IF(E32="","",IF(D32="Must",VLOOKUP(E32,Scoring!$A$2:$C$7,2,FALSE),VLOOKUP(E32,Scoring!$A$2:$C$7,3,FALSE)))</f>
        <v/>
      </c>
      <c r="I32" s="9">
        <f>IF(D32="Must",Scoring!$F$2,Scoring!$F$3)</f>
        <v>3</v>
      </c>
      <c r="J32" s="10" t="str">
        <f t="shared" si="0"/>
        <v/>
      </c>
    </row>
    <row r="33" spans="1:10" x14ac:dyDescent="0.25">
      <c r="A33" t="s">
        <v>100</v>
      </c>
      <c r="B33" t="s">
        <v>94</v>
      </c>
      <c r="C33" t="s">
        <v>101</v>
      </c>
      <c r="D33" t="s">
        <v>24</v>
      </c>
      <c r="H33" s="9" t="str">
        <f>IF(E33="","",IF(D33="Must",VLOOKUP(E33,Scoring!$A$2:$C$7,2,FALSE),VLOOKUP(E33,Scoring!$A$2:$C$7,3,FALSE)))</f>
        <v/>
      </c>
      <c r="I33" s="9">
        <f>IF(D33="Must",Scoring!$F$2,Scoring!$F$3)</f>
        <v>3</v>
      </c>
      <c r="J33" s="10" t="str">
        <f t="shared" si="0"/>
        <v/>
      </c>
    </row>
    <row r="34" spans="1:10" x14ac:dyDescent="0.25">
      <c r="A34" t="s">
        <v>102</v>
      </c>
      <c r="B34" t="s">
        <v>94</v>
      </c>
      <c r="C34" t="s">
        <v>103</v>
      </c>
      <c r="D34" t="s">
        <v>24</v>
      </c>
      <c r="H34" s="9" t="str">
        <f>IF(E34="","",IF(D34="Must",VLOOKUP(E34,Scoring!$A$2:$C$7,2,FALSE),VLOOKUP(E34,Scoring!$A$2:$C$7,3,FALSE)))</f>
        <v/>
      </c>
      <c r="I34" s="9">
        <f>IF(D34="Must",Scoring!$F$2,Scoring!$F$3)</f>
        <v>3</v>
      </c>
      <c r="J34" s="10" t="str">
        <f t="shared" si="0"/>
        <v/>
      </c>
    </row>
    <row r="35" spans="1:10" x14ac:dyDescent="0.25">
      <c r="A35" t="s">
        <v>104</v>
      </c>
      <c r="B35" t="s">
        <v>94</v>
      </c>
      <c r="C35" t="s">
        <v>105</v>
      </c>
      <c r="D35" t="s">
        <v>24</v>
      </c>
      <c r="H35" s="9"/>
      <c r="I35" s="9">
        <v>3</v>
      </c>
      <c r="J35" s="10"/>
    </row>
    <row r="36" spans="1:10" x14ac:dyDescent="0.25">
      <c r="A36" t="s">
        <v>106</v>
      </c>
      <c r="B36" t="s">
        <v>107</v>
      </c>
      <c r="C36" t="s">
        <v>108</v>
      </c>
      <c r="D36" t="s">
        <v>23</v>
      </c>
      <c r="H36" s="9" t="str">
        <f>IF(E36="","",IF(D36="Must",VLOOKUP(E36,Scoring!$A$2:$C$7,2,FALSE),VLOOKUP(E36,Scoring!$A$2:$C$7,3,FALSE)))</f>
        <v/>
      </c>
      <c r="I36" s="9">
        <f>IF(D36="Must",Scoring!$F$2,Scoring!$F$3)</f>
        <v>5</v>
      </c>
      <c r="J36" s="10" t="str">
        <f t="shared" si="0"/>
        <v/>
      </c>
    </row>
    <row r="37" spans="1:10" x14ac:dyDescent="0.25">
      <c r="A37" t="s">
        <v>109</v>
      </c>
      <c r="B37" t="s">
        <v>107</v>
      </c>
      <c r="C37" t="s">
        <v>110</v>
      </c>
      <c r="D37" t="s">
        <v>24</v>
      </c>
      <c r="H37" s="9" t="str">
        <f>IF(E37="","",IF(D37="Must",VLOOKUP(E37,Scoring!$A$2:$C$7,2,FALSE),VLOOKUP(E37,Scoring!$A$2:$C$7,3,FALSE)))</f>
        <v/>
      </c>
      <c r="I37" s="9">
        <f>IF(D37="Must",Scoring!$F$2,Scoring!$F$3)</f>
        <v>3</v>
      </c>
      <c r="J37" s="10" t="str">
        <f t="shared" si="0"/>
        <v/>
      </c>
    </row>
    <row r="38" spans="1:10" x14ac:dyDescent="0.25">
      <c r="A38" t="s">
        <v>111</v>
      </c>
      <c r="B38" t="s">
        <v>107</v>
      </c>
      <c r="C38" t="s">
        <v>112</v>
      </c>
      <c r="D38" t="s">
        <v>23</v>
      </c>
      <c r="H38" s="9" t="str">
        <f>IF(E38="","",IF(D38="Must",VLOOKUP(E38,Scoring!$A$2:$C$7,2,FALSE),VLOOKUP(E38,Scoring!$A$2:$C$7,3,FALSE)))</f>
        <v/>
      </c>
      <c r="I38" s="9">
        <f>IF(D38="Must",Scoring!$F$2,Scoring!$F$3)</f>
        <v>5</v>
      </c>
      <c r="J38" s="10" t="str">
        <f t="shared" si="0"/>
        <v/>
      </c>
    </row>
    <row r="39" spans="1:10" x14ac:dyDescent="0.25">
      <c r="A39" t="s">
        <v>113</v>
      </c>
      <c r="B39" t="s">
        <v>107</v>
      </c>
      <c r="C39" t="s">
        <v>114</v>
      </c>
      <c r="D39" t="s">
        <v>23</v>
      </c>
      <c r="H39" s="9" t="str">
        <f>IF(E39="","",IF(D39="Must",VLOOKUP(E39,Scoring!$A$2:$C$7,2,FALSE),VLOOKUP(E39,Scoring!$A$2:$C$7,3,FALSE)))</f>
        <v/>
      </c>
      <c r="I39" s="9">
        <f>IF(D39="Must",Scoring!$F$2,Scoring!$F$3)</f>
        <v>5</v>
      </c>
      <c r="J39" s="10" t="str">
        <f t="shared" si="0"/>
        <v/>
      </c>
    </row>
    <row r="40" spans="1:10" x14ac:dyDescent="0.25">
      <c r="A40" t="s">
        <v>115</v>
      </c>
      <c r="B40" t="s">
        <v>107</v>
      </c>
      <c r="C40" t="s">
        <v>116</v>
      </c>
      <c r="D40" t="s">
        <v>24</v>
      </c>
      <c r="H40" s="9" t="str">
        <f>IF(E40="","",IF(D40="Must",VLOOKUP(E40,Scoring!$A$2:$C$7,2,FALSE),VLOOKUP(E40,Scoring!$A$2:$C$7,3,FALSE)))</f>
        <v/>
      </c>
      <c r="I40" s="9">
        <f>IF(D40="Must",Scoring!$F$2,Scoring!$F$3)</f>
        <v>3</v>
      </c>
      <c r="J40" s="10" t="str">
        <f t="shared" ref="J40:J70" si="2">IF(I40=0,"",IF(H40="","",H40/I40))</f>
        <v/>
      </c>
    </row>
    <row r="41" spans="1:10" x14ac:dyDescent="0.25">
      <c r="A41" t="s">
        <v>117</v>
      </c>
      <c r="B41" t="s">
        <v>107</v>
      </c>
      <c r="C41" t="s">
        <v>118</v>
      </c>
      <c r="D41" t="s">
        <v>24</v>
      </c>
      <c r="H41" s="9" t="str">
        <f>IF(E41="","",IF(D41="Must",VLOOKUP(E41,Scoring!$A$2:$C$7,2,FALSE),VLOOKUP(E41,Scoring!$A$2:$C$7,3,FALSE)))</f>
        <v/>
      </c>
      <c r="I41" s="9">
        <f>IF(D41="Must",Scoring!$F$2,Scoring!$F$3)</f>
        <v>3</v>
      </c>
      <c r="J41" s="10" t="str">
        <f t="shared" si="2"/>
        <v/>
      </c>
    </row>
    <row r="42" spans="1:10" x14ac:dyDescent="0.25">
      <c r="A42" t="s">
        <v>119</v>
      </c>
      <c r="B42" t="s">
        <v>107</v>
      </c>
      <c r="C42" t="s">
        <v>120</v>
      </c>
      <c r="D42" t="s">
        <v>24</v>
      </c>
      <c r="H42" s="9" t="str">
        <f>IF(E42="","",IF(D42="Must",VLOOKUP(E42,Scoring!$A$2:$C$7,2,FALSE),VLOOKUP(E42,Scoring!$A$2:$C$7,3,FALSE)))</f>
        <v/>
      </c>
      <c r="I42" s="9">
        <f>IF(D42="Must",Scoring!$F$2,Scoring!$F$3)</f>
        <v>3</v>
      </c>
      <c r="J42" s="10" t="str">
        <f t="shared" si="2"/>
        <v/>
      </c>
    </row>
    <row r="43" spans="1:10" x14ac:dyDescent="0.25">
      <c r="A43" t="s">
        <v>121</v>
      </c>
      <c r="B43" t="s">
        <v>107</v>
      </c>
      <c r="C43" t="s">
        <v>122</v>
      </c>
      <c r="D43" t="s">
        <v>24</v>
      </c>
      <c r="H43" s="9" t="str">
        <f>IF(E43="","",IF(D43="Must",VLOOKUP(E43,Scoring!$A$2:$C$7,2,FALSE),VLOOKUP(E43,Scoring!$A$2:$C$7,3,FALSE)))</f>
        <v/>
      </c>
      <c r="I43" s="9">
        <f>IF(D43="Must",Scoring!$F$2,Scoring!$F$3)</f>
        <v>3</v>
      </c>
      <c r="J43" s="10" t="str">
        <f t="shared" si="2"/>
        <v/>
      </c>
    </row>
    <row r="44" spans="1:10" x14ac:dyDescent="0.25">
      <c r="A44" t="s">
        <v>123</v>
      </c>
      <c r="B44" t="s">
        <v>124</v>
      </c>
      <c r="C44" t="s">
        <v>125</v>
      </c>
      <c r="D44" t="s">
        <v>23</v>
      </c>
      <c r="H44" s="9" t="str">
        <f>IF(E44="","",IF(D44="Must",VLOOKUP(E44,Scoring!$A$2:$C$7,2,FALSE),VLOOKUP(E44,Scoring!$A$2:$C$7,3,FALSE)))</f>
        <v/>
      </c>
      <c r="I44" s="9">
        <f>IF(D44="Must",Scoring!$F$2,Scoring!$F$3)</f>
        <v>5</v>
      </c>
      <c r="J44" s="10" t="str">
        <f t="shared" si="2"/>
        <v/>
      </c>
    </row>
    <row r="45" spans="1:10" x14ac:dyDescent="0.25">
      <c r="A45" t="s">
        <v>126</v>
      </c>
      <c r="B45" t="s">
        <v>124</v>
      </c>
      <c r="C45" t="s">
        <v>127</v>
      </c>
      <c r="D45" t="s">
        <v>23</v>
      </c>
      <c r="H45" s="9" t="str">
        <f>IF(E45="","",IF(D45="Must",VLOOKUP(E45,Scoring!$A$2:$C$7,2,FALSE),VLOOKUP(E45,Scoring!$A$2:$C$7,3,FALSE)))</f>
        <v/>
      </c>
      <c r="I45" s="9">
        <f>IF(D45="Must",Scoring!$F$2,Scoring!$F$3)</f>
        <v>5</v>
      </c>
      <c r="J45" s="10" t="str">
        <f t="shared" si="2"/>
        <v/>
      </c>
    </row>
    <row r="46" spans="1:10" x14ac:dyDescent="0.25">
      <c r="A46" t="s">
        <v>128</v>
      </c>
      <c r="B46" t="s">
        <v>124</v>
      </c>
      <c r="C46" t="s">
        <v>129</v>
      </c>
      <c r="D46" t="s">
        <v>23</v>
      </c>
      <c r="H46" s="9" t="str">
        <f>IF(E46="","",IF(D46="Must",VLOOKUP(E46,Scoring!$A$2:$C$7,2,FALSE),VLOOKUP(E46,Scoring!$A$2:$C$7,3,FALSE)))</f>
        <v/>
      </c>
      <c r="I46" s="9">
        <f>IF(D46="Must",Scoring!$F$2,Scoring!$F$3)</f>
        <v>5</v>
      </c>
      <c r="J46" s="10" t="str">
        <f t="shared" si="2"/>
        <v/>
      </c>
    </row>
    <row r="47" spans="1:10" x14ac:dyDescent="0.25">
      <c r="A47" t="s">
        <v>130</v>
      </c>
      <c r="B47" t="s">
        <v>124</v>
      </c>
      <c r="C47" t="s">
        <v>131</v>
      </c>
      <c r="D47" t="s">
        <v>24</v>
      </c>
      <c r="H47" s="9" t="str">
        <f>IF(E47="","",IF(D47="Must",VLOOKUP(E47,Scoring!$A$2:$C$7,2,FALSE),VLOOKUP(E47,Scoring!$A$2:$C$7,3,FALSE)))</f>
        <v/>
      </c>
      <c r="I47" s="9">
        <f>IF(D47="Must",Scoring!$F$2,Scoring!$F$3)</f>
        <v>3</v>
      </c>
      <c r="J47" s="10" t="str">
        <f t="shared" si="2"/>
        <v/>
      </c>
    </row>
    <row r="48" spans="1:10" x14ac:dyDescent="0.25">
      <c r="A48" t="s">
        <v>132</v>
      </c>
      <c r="B48" t="s">
        <v>124</v>
      </c>
      <c r="C48" t="s">
        <v>133</v>
      </c>
      <c r="D48" t="s">
        <v>23</v>
      </c>
      <c r="H48" s="9" t="str">
        <f>IF(E48="","",IF(D48="Must",VLOOKUP(E48,Scoring!$A$2:$C$7,2,FALSE),VLOOKUP(E48,Scoring!$A$2:$C$7,3,FALSE)))</f>
        <v/>
      </c>
      <c r="I48" s="9">
        <f>IF(D48="Must",Scoring!$F$2,Scoring!$F$3)</f>
        <v>5</v>
      </c>
      <c r="J48" s="10" t="str">
        <f t="shared" si="2"/>
        <v/>
      </c>
    </row>
    <row r="49" spans="1:10" x14ac:dyDescent="0.25">
      <c r="A49" t="s">
        <v>134</v>
      </c>
      <c r="B49" t="s">
        <v>124</v>
      </c>
      <c r="C49" t="s">
        <v>135</v>
      </c>
      <c r="D49" t="s">
        <v>24</v>
      </c>
      <c r="H49" s="9" t="str">
        <f>IF(E49="","",IF(D49="Must",VLOOKUP(E49,Scoring!$A$2:$C$7,2,FALSE),VLOOKUP(E49,Scoring!$A$2:$C$7,3,FALSE)))</f>
        <v/>
      </c>
      <c r="I49" s="9">
        <f>IF(D49="Must",Scoring!$F$2,Scoring!$F$3)</f>
        <v>3</v>
      </c>
      <c r="J49" s="10" t="str">
        <f t="shared" si="2"/>
        <v/>
      </c>
    </row>
    <row r="50" spans="1:10" x14ac:dyDescent="0.25">
      <c r="A50" t="s">
        <v>136</v>
      </c>
      <c r="B50" t="s">
        <v>124</v>
      </c>
      <c r="C50" t="s">
        <v>137</v>
      </c>
      <c r="D50" t="s">
        <v>24</v>
      </c>
      <c r="H50" s="9" t="str">
        <f>IF(E50="","",IF(D50="Must",VLOOKUP(E50,Scoring!$A$2:$C$7,2,FALSE),VLOOKUP(E50,Scoring!$A$2:$C$7,3,FALSE)))</f>
        <v/>
      </c>
      <c r="I50" s="9">
        <f>IF(D50="Must",Scoring!$F$2,Scoring!$F$3)</f>
        <v>3</v>
      </c>
      <c r="J50" s="10" t="str">
        <f t="shared" si="2"/>
        <v/>
      </c>
    </row>
    <row r="51" spans="1:10" x14ac:dyDescent="0.25">
      <c r="A51" t="s">
        <v>138</v>
      </c>
      <c r="B51" t="s">
        <v>124</v>
      </c>
      <c r="C51" t="s">
        <v>139</v>
      </c>
      <c r="D51" t="s">
        <v>23</v>
      </c>
      <c r="H51" s="9" t="str">
        <f>IF(E51="","",IF(D51="Must",VLOOKUP(E51,Scoring!$A$2:$C$7,2,FALSE),VLOOKUP(E51,Scoring!$A$2:$C$7,3,FALSE)))</f>
        <v/>
      </c>
      <c r="I51" s="9">
        <f>IF(D51="Must",Scoring!$F$2,Scoring!$F$3)</f>
        <v>5</v>
      </c>
      <c r="J51" s="10" t="str">
        <f t="shared" si="2"/>
        <v/>
      </c>
    </row>
    <row r="52" spans="1:10" x14ac:dyDescent="0.25">
      <c r="A52" t="s">
        <v>140</v>
      </c>
      <c r="B52" t="s">
        <v>141</v>
      </c>
      <c r="C52" t="s">
        <v>142</v>
      </c>
      <c r="D52" t="s">
        <v>23</v>
      </c>
      <c r="H52" s="9" t="str">
        <f>IF(E52="","",IF(D52="Must",VLOOKUP(E52,Scoring!$A$2:$C$7,2,FALSE),VLOOKUP(E52,Scoring!$A$2:$C$7,3,FALSE)))</f>
        <v/>
      </c>
      <c r="I52" s="9">
        <f>IF(D52="Must",Scoring!$F$2,Scoring!$F$3)</f>
        <v>5</v>
      </c>
      <c r="J52" s="10" t="str">
        <f t="shared" si="2"/>
        <v/>
      </c>
    </row>
    <row r="53" spans="1:10" x14ac:dyDescent="0.25">
      <c r="A53" t="s">
        <v>143</v>
      </c>
      <c r="B53" t="s">
        <v>141</v>
      </c>
      <c r="C53" t="s">
        <v>144</v>
      </c>
      <c r="D53" t="s">
        <v>24</v>
      </c>
      <c r="H53" s="9" t="str">
        <f>IF(E53="","",IF(D53="Must",VLOOKUP(E53,Scoring!$A$2:$C$7,2,FALSE),VLOOKUP(E53,Scoring!$A$2:$C$7,3,FALSE)))</f>
        <v/>
      </c>
      <c r="I53" s="9">
        <f>IF(D53="Must",Scoring!$F$2,Scoring!$F$3)</f>
        <v>3</v>
      </c>
      <c r="J53" s="10" t="str">
        <f t="shared" si="2"/>
        <v/>
      </c>
    </row>
    <row r="54" spans="1:10" x14ac:dyDescent="0.25">
      <c r="A54" t="s">
        <v>145</v>
      </c>
      <c r="B54" t="s">
        <v>141</v>
      </c>
      <c r="C54" t="s">
        <v>146</v>
      </c>
      <c r="D54" t="s">
        <v>24</v>
      </c>
      <c r="H54" s="9" t="str">
        <f>IF(E54="","",IF(D54="Must",VLOOKUP(E54,Scoring!$A$2:$C$7,2,FALSE),VLOOKUP(E54,Scoring!$A$2:$C$7,3,FALSE)))</f>
        <v/>
      </c>
      <c r="I54" s="9">
        <f>IF(D54="Must",Scoring!$F$2,Scoring!$F$3)</f>
        <v>3</v>
      </c>
      <c r="J54" s="10" t="str">
        <f t="shared" si="2"/>
        <v/>
      </c>
    </row>
    <row r="55" spans="1:10" x14ac:dyDescent="0.25">
      <c r="A55" t="s">
        <v>147</v>
      </c>
      <c r="B55" t="s">
        <v>141</v>
      </c>
      <c r="C55" t="s">
        <v>148</v>
      </c>
      <c r="D55" t="s">
        <v>23</v>
      </c>
      <c r="H55" s="9" t="str">
        <f>IF(E55="","",IF(D55="Must",VLOOKUP(E55,Scoring!$A$2:$C$7,2,FALSE),VLOOKUP(E55,Scoring!$A$2:$C$7,3,FALSE)))</f>
        <v/>
      </c>
      <c r="I55" s="9">
        <f>IF(D55="Must",Scoring!$F$2,Scoring!$F$3)</f>
        <v>5</v>
      </c>
      <c r="J55" s="10" t="str">
        <f t="shared" si="2"/>
        <v/>
      </c>
    </row>
    <row r="56" spans="1:10" x14ac:dyDescent="0.25">
      <c r="A56" t="s">
        <v>149</v>
      </c>
      <c r="B56" t="s">
        <v>141</v>
      </c>
      <c r="C56" t="s">
        <v>150</v>
      </c>
      <c r="D56" t="s">
        <v>24</v>
      </c>
      <c r="H56" s="9" t="str">
        <f>IF(E56="","",IF(D56="Must",VLOOKUP(E56,Scoring!$A$2:$C$7,2,FALSE),VLOOKUP(E56,Scoring!$A$2:$C$7,3,FALSE)))</f>
        <v/>
      </c>
      <c r="I56" s="9">
        <f>IF(D56="Must",Scoring!$F$2,Scoring!$F$3)</f>
        <v>3</v>
      </c>
      <c r="J56" s="10" t="str">
        <f t="shared" si="2"/>
        <v/>
      </c>
    </row>
    <row r="57" spans="1:10" x14ac:dyDescent="0.25">
      <c r="A57" t="s">
        <v>151</v>
      </c>
      <c r="B57" t="s">
        <v>141</v>
      </c>
      <c r="C57" t="s">
        <v>152</v>
      </c>
      <c r="D57" t="s">
        <v>24</v>
      </c>
      <c r="H57" s="9" t="str">
        <f>IF(E57="","",IF(D57="Must",VLOOKUP(E57,Scoring!$A$2:$C$7,2,FALSE),VLOOKUP(E57,Scoring!$A$2:$C$7,3,FALSE)))</f>
        <v/>
      </c>
      <c r="I57" s="9">
        <f>IF(D57="Must",Scoring!$F$2,Scoring!$F$3)</f>
        <v>3</v>
      </c>
      <c r="J57" s="10" t="str">
        <f t="shared" si="2"/>
        <v/>
      </c>
    </row>
    <row r="58" spans="1:10" x14ac:dyDescent="0.25">
      <c r="A58" t="s">
        <v>153</v>
      </c>
      <c r="B58" t="s">
        <v>154</v>
      </c>
      <c r="C58" t="s">
        <v>155</v>
      </c>
      <c r="D58" t="s">
        <v>23</v>
      </c>
      <c r="H58" s="9" t="str">
        <f>IF(E58="","",IF(D58="Must",VLOOKUP(E58,Scoring!$A$2:$C$7,2,FALSE),VLOOKUP(E58,Scoring!$A$2:$C$7,3,FALSE)))</f>
        <v/>
      </c>
      <c r="I58" s="9">
        <f>IF(D58="Must",Scoring!$F$2,Scoring!$F$3)</f>
        <v>5</v>
      </c>
      <c r="J58" s="10" t="str">
        <f t="shared" si="2"/>
        <v/>
      </c>
    </row>
    <row r="59" spans="1:10" x14ac:dyDescent="0.25">
      <c r="A59" t="s">
        <v>156</v>
      </c>
      <c r="B59" t="s">
        <v>154</v>
      </c>
      <c r="C59" t="s">
        <v>157</v>
      </c>
      <c r="D59" t="s">
        <v>24</v>
      </c>
      <c r="H59" s="9" t="str">
        <f>IF(E59="","",IF(D59="Must",VLOOKUP(E59,Scoring!$A$2:$C$7,2,FALSE),VLOOKUP(E59,Scoring!$A$2:$C$7,3,FALSE)))</f>
        <v/>
      </c>
      <c r="I59" s="9">
        <f>IF(D59="Must",Scoring!$F$2,Scoring!$F$3)</f>
        <v>3</v>
      </c>
      <c r="J59" s="10" t="str">
        <f t="shared" si="2"/>
        <v/>
      </c>
    </row>
    <row r="60" spans="1:10" x14ac:dyDescent="0.25">
      <c r="A60" t="s">
        <v>158</v>
      </c>
      <c r="B60" t="s">
        <v>154</v>
      </c>
      <c r="C60" t="s">
        <v>159</v>
      </c>
      <c r="D60" t="s">
        <v>24</v>
      </c>
      <c r="H60" s="9" t="str">
        <f>IF(E60="","",IF(D60="Must",VLOOKUP(E60,Scoring!$A$2:$C$7,2,FALSE),VLOOKUP(E60,Scoring!$A$2:$C$7,3,FALSE)))</f>
        <v/>
      </c>
      <c r="I60" s="9">
        <f>IF(D60="Must",Scoring!$F$2,Scoring!$F$3)</f>
        <v>3</v>
      </c>
      <c r="J60" s="10" t="str">
        <f t="shared" si="2"/>
        <v/>
      </c>
    </row>
    <row r="61" spans="1:10" x14ac:dyDescent="0.25">
      <c r="A61" t="s">
        <v>160</v>
      </c>
      <c r="B61" t="s">
        <v>154</v>
      </c>
      <c r="C61" t="s">
        <v>161</v>
      </c>
      <c r="D61" t="s">
        <v>23</v>
      </c>
      <c r="H61" s="9" t="str">
        <f>IF(E61="","",IF(D61="Must",VLOOKUP(E61,Scoring!$A$2:$C$7,2,FALSE),VLOOKUP(E61,Scoring!$A$2:$C$7,3,FALSE)))</f>
        <v/>
      </c>
      <c r="I61" s="9">
        <f>IF(D61="Must",Scoring!$F$2,Scoring!$F$3)</f>
        <v>5</v>
      </c>
      <c r="J61" s="10" t="str">
        <f t="shared" si="2"/>
        <v/>
      </c>
    </row>
    <row r="62" spans="1:10" x14ac:dyDescent="0.25">
      <c r="A62" t="s">
        <v>162</v>
      </c>
      <c r="B62" t="s">
        <v>154</v>
      </c>
      <c r="C62" t="s">
        <v>163</v>
      </c>
      <c r="D62" t="s">
        <v>23</v>
      </c>
      <c r="H62" s="9" t="str">
        <f>IF(E62="","",IF(D62="Must",VLOOKUP(E62,Scoring!$A$2:$C$7,2,FALSE),VLOOKUP(E62,Scoring!$A$2:$C$7,3,FALSE)))</f>
        <v/>
      </c>
      <c r="I62" s="9">
        <f>IF(D62="Must",Scoring!$F$2,Scoring!$F$3)</f>
        <v>5</v>
      </c>
      <c r="J62" s="10" t="str">
        <f t="shared" si="2"/>
        <v/>
      </c>
    </row>
    <row r="63" spans="1:10" x14ac:dyDescent="0.25">
      <c r="A63" t="s">
        <v>164</v>
      </c>
      <c r="B63" t="s">
        <v>165</v>
      </c>
      <c r="C63" t="s">
        <v>166</v>
      </c>
      <c r="D63" t="s">
        <v>23</v>
      </c>
      <c r="H63" s="9" t="str">
        <f>IF(E63="","",IF(D63="Must",VLOOKUP(E63,Scoring!$A$2:$C$7,2,FALSE),VLOOKUP(E63,Scoring!$A$2:$C$7,3,FALSE)))</f>
        <v/>
      </c>
      <c r="I63" s="9">
        <f>IF(D63="Must",Scoring!$F$2,Scoring!$F$3)</f>
        <v>5</v>
      </c>
      <c r="J63" s="10" t="str">
        <f t="shared" si="2"/>
        <v/>
      </c>
    </row>
    <row r="64" spans="1:10" x14ac:dyDescent="0.25">
      <c r="A64" t="s">
        <v>167</v>
      </c>
      <c r="B64" t="s">
        <v>165</v>
      </c>
      <c r="C64" t="s">
        <v>168</v>
      </c>
      <c r="D64" t="s">
        <v>24</v>
      </c>
      <c r="H64" s="9" t="str">
        <f>IF(E64="","",IF(D64="Must",VLOOKUP(E64,Scoring!$A$2:$C$7,2,FALSE),VLOOKUP(E64,Scoring!$A$2:$C$7,3,FALSE)))</f>
        <v/>
      </c>
      <c r="I64" s="9">
        <f>IF(D64="Must",Scoring!$F$2,Scoring!$F$3)</f>
        <v>3</v>
      </c>
      <c r="J64" s="10" t="str">
        <f t="shared" si="2"/>
        <v/>
      </c>
    </row>
    <row r="65" spans="1:10" x14ac:dyDescent="0.25">
      <c r="A65" t="s">
        <v>169</v>
      </c>
      <c r="B65" t="s">
        <v>165</v>
      </c>
      <c r="C65" t="s">
        <v>170</v>
      </c>
      <c r="D65" t="s">
        <v>24</v>
      </c>
      <c r="H65" s="9" t="str">
        <f>IF(E65="","",IF(D65="Must",VLOOKUP(E65,Scoring!$A$2:$C$7,2,FALSE),VLOOKUP(E65,Scoring!$A$2:$C$7,3,FALSE)))</f>
        <v/>
      </c>
      <c r="I65" s="9">
        <f>IF(D65="Must",Scoring!$F$2,Scoring!$F$3)</f>
        <v>3</v>
      </c>
      <c r="J65" s="10" t="str">
        <f t="shared" si="2"/>
        <v/>
      </c>
    </row>
    <row r="66" spans="1:10" x14ac:dyDescent="0.25">
      <c r="A66" t="s">
        <v>171</v>
      </c>
      <c r="B66" t="s">
        <v>165</v>
      </c>
      <c r="C66" t="s">
        <v>172</v>
      </c>
      <c r="D66" t="s">
        <v>24</v>
      </c>
      <c r="H66" s="9" t="str">
        <f>IF(E66="","",IF(D66="Must",VLOOKUP(E66,Scoring!$A$2:$C$7,2,FALSE),VLOOKUP(E66,Scoring!$A$2:$C$7,3,FALSE)))</f>
        <v/>
      </c>
      <c r="I66" s="9">
        <f>IF(D66="Must",Scoring!$F$2,Scoring!$F$3)</f>
        <v>3</v>
      </c>
      <c r="J66" s="10" t="str">
        <f t="shared" si="2"/>
        <v/>
      </c>
    </row>
    <row r="67" spans="1:10" x14ac:dyDescent="0.25">
      <c r="A67" t="s">
        <v>173</v>
      </c>
      <c r="B67" t="s">
        <v>165</v>
      </c>
      <c r="C67" t="s">
        <v>174</v>
      </c>
      <c r="D67" t="s">
        <v>23</v>
      </c>
      <c r="H67" s="9" t="str">
        <f>IF(E67="","",IF(D67="Must",VLOOKUP(E67,Scoring!$A$2:$C$7,2,FALSE),VLOOKUP(E67,Scoring!$A$2:$C$7,3,FALSE)))</f>
        <v/>
      </c>
      <c r="I67" s="9">
        <f>IF(D67="Must",Scoring!$F$2,Scoring!$F$3)</f>
        <v>5</v>
      </c>
      <c r="J67" s="10" t="str">
        <f t="shared" si="2"/>
        <v/>
      </c>
    </row>
    <row r="68" spans="1:10" x14ac:dyDescent="0.25">
      <c r="A68" t="s">
        <v>175</v>
      </c>
      <c r="B68" t="s">
        <v>165</v>
      </c>
      <c r="C68" t="s">
        <v>176</v>
      </c>
      <c r="D68" t="s">
        <v>24</v>
      </c>
      <c r="H68" s="9" t="str">
        <f>IF(E68="","",IF(D68="Must",VLOOKUP(E68,Scoring!$A$2:$C$7,2,FALSE),VLOOKUP(E68,Scoring!$A$2:$C$7,3,FALSE)))</f>
        <v/>
      </c>
      <c r="I68" s="9">
        <f>IF(D68="Must",Scoring!$F$2,Scoring!$F$3)</f>
        <v>3</v>
      </c>
      <c r="J68" s="10" t="str">
        <f t="shared" si="2"/>
        <v/>
      </c>
    </row>
    <row r="69" spans="1:10" x14ac:dyDescent="0.25">
      <c r="A69" t="s">
        <v>177</v>
      </c>
      <c r="B69" t="s">
        <v>178</v>
      </c>
      <c r="C69" t="s">
        <v>179</v>
      </c>
      <c r="D69" t="s">
        <v>23</v>
      </c>
      <c r="H69" s="9" t="str">
        <f>IF(E69="","",IF(D69="Must",VLOOKUP(E69,Scoring!$A$2:$C$7,2,FALSE),VLOOKUP(E69,Scoring!$A$2:$C$7,3,FALSE)))</f>
        <v/>
      </c>
      <c r="I69" s="9">
        <f>IF(D69="Must",Scoring!$F$2,Scoring!$F$3)</f>
        <v>5</v>
      </c>
      <c r="J69" s="10" t="str">
        <f t="shared" si="2"/>
        <v/>
      </c>
    </row>
    <row r="70" spans="1:10" x14ac:dyDescent="0.25">
      <c r="A70" t="s">
        <v>180</v>
      </c>
      <c r="B70" t="s">
        <v>178</v>
      </c>
      <c r="C70" t="s">
        <v>181</v>
      </c>
      <c r="D70" t="s">
        <v>24</v>
      </c>
      <c r="H70" s="9" t="str">
        <f>IF(E70="","",IF(D70="Must",VLOOKUP(E70,Scoring!$A$2:$C$7,2,FALSE),VLOOKUP(E70,Scoring!$A$2:$C$7,3,FALSE)))</f>
        <v/>
      </c>
      <c r="I70" s="9">
        <f>IF(D70="Must",Scoring!$F$2,Scoring!$F$3)</f>
        <v>3</v>
      </c>
      <c r="J70" s="10" t="str">
        <f t="shared" si="2"/>
        <v/>
      </c>
    </row>
    <row r="71" spans="1:10" x14ac:dyDescent="0.25">
      <c r="A71" t="s">
        <v>182</v>
      </c>
      <c r="B71" t="s">
        <v>178</v>
      </c>
      <c r="C71" t="s">
        <v>183</v>
      </c>
      <c r="D71" t="s">
        <v>24</v>
      </c>
      <c r="H71" s="9" t="str">
        <f>IF(E71="","",IF(D71="Must",VLOOKUP(E71,Scoring!$A$2:$C$7,2,FALSE),VLOOKUP(E71,Scoring!$A$2:$C$7,3,FALSE)))</f>
        <v/>
      </c>
      <c r="I71" s="9">
        <f>IF(D71="Must",Scoring!$F$2,Scoring!$F$3)</f>
        <v>3</v>
      </c>
      <c r="J71" s="10" t="str">
        <f t="shared" ref="J71:J104" si="3">IF(I71=0,"",IF(H71="","",H71/I71))</f>
        <v/>
      </c>
    </row>
    <row r="72" spans="1:10" x14ac:dyDescent="0.25">
      <c r="A72" t="s">
        <v>184</v>
      </c>
      <c r="B72" t="s">
        <v>178</v>
      </c>
      <c r="C72" t="s">
        <v>185</v>
      </c>
      <c r="D72" t="s">
        <v>23</v>
      </c>
      <c r="H72" s="9" t="str">
        <f>IF(E72="","",IF(D72="Must",VLOOKUP(E72,Scoring!$A$2:$C$7,2,FALSE),VLOOKUP(E72,Scoring!$A$2:$C$7,3,FALSE)))</f>
        <v/>
      </c>
      <c r="I72" s="9">
        <f>IF(D72="Must",Scoring!$F$2,Scoring!$F$3)</f>
        <v>5</v>
      </c>
      <c r="J72" s="10" t="str">
        <f t="shared" si="3"/>
        <v/>
      </c>
    </row>
    <row r="73" spans="1:10" x14ac:dyDescent="0.25">
      <c r="A73" t="s">
        <v>186</v>
      </c>
      <c r="B73" t="s">
        <v>178</v>
      </c>
      <c r="C73" t="s">
        <v>187</v>
      </c>
      <c r="D73" t="s">
        <v>24</v>
      </c>
      <c r="H73" s="9" t="str">
        <f>IF(E73="","",IF(D73="Must",VLOOKUP(E73,Scoring!$A$2:$C$7,2,FALSE),VLOOKUP(E73,Scoring!$A$2:$C$7,3,FALSE)))</f>
        <v/>
      </c>
      <c r="I73" s="9">
        <f>IF(D73="Must",Scoring!$F$2,Scoring!$F$3)</f>
        <v>3</v>
      </c>
      <c r="J73" s="10" t="str">
        <f t="shared" si="3"/>
        <v/>
      </c>
    </row>
    <row r="74" spans="1:10" x14ac:dyDescent="0.25">
      <c r="A74" t="s">
        <v>188</v>
      </c>
      <c r="B74" t="s">
        <v>178</v>
      </c>
      <c r="C74" t="s">
        <v>189</v>
      </c>
      <c r="D74" t="s">
        <v>24</v>
      </c>
      <c r="H74" s="9"/>
      <c r="I74" s="9">
        <v>3</v>
      </c>
      <c r="J74" s="10"/>
    </row>
    <row r="75" spans="1:10" x14ac:dyDescent="0.25">
      <c r="A75" t="s">
        <v>190</v>
      </c>
      <c r="B75" t="s">
        <v>191</v>
      </c>
      <c r="C75" t="s">
        <v>192</v>
      </c>
      <c r="D75" t="s">
        <v>23</v>
      </c>
      <c r="H75" s="9" t="str">
        <f>IF(E75="","",IF(D75="Must",VLOOKUP(E75,Scoring!$A$2:$C$7,2,FALSE),VLOOKUP(E75,Scoring!$A$2:$C$7,3,FALSE)))</f>
        <v/>
      </c>
      <c r="I75" s="9">
        <f>IF(D75="Must",Scoring!$F$2,Scoring!$F$3)</f>
        <v>5</v>
      </c>
      <c r="J75" s="10" t="str">
        <f t="shared" si="3"/>
        <v/>
      </c>
    </row>
    <row r="76" spans="1:10" x14ac:dyDescent="0.25">
      <c r="A76" t="s">
        <v>193</v>
      </c>
      <c r="B76" t="s">
        <v>191</v>
      </c>
      <c r="C76" t="s">
        <v>194</v>
      </c>
      <c r="D76" t="s">
        <v>23</v>
      </c>
      <c r="H76" s="9" t="str">
        <f>IF(E76="","",IF(D76="Must",VLOOKUP(E76,Scoring!$A$2:$C$7,2,FALSE),VLOOKUP(E76,Scoring!$A$2:$C$7,3,FALSE)))</f>
        <v/>
      </c>
      <c r="I76" s="9">
        <f>IF(D76="Must",Scoring!$F$2,Scoring!$F$3)</f>
        <v>5</v>
      </c>
      <c r="J76" s="10" t="str">
        <f t="shared" si="3"/>
        <v/>
      </c>
    </row>
    <row r="77" spans="1:10" x14ac:dyDescent="0.25">
      <c r="A77" t="s">
        <v>195</v>
      </c>
      <c r="B77" t="s">
        <v>191</v>
      </c>
      <c r="C77" t="s">
        <v>196</v>
      </c>
      <c r="D77" t="s">
        <v>24</v>
      </c>
      <c r="H77" s="9" t="str">
        <f>IF(E77="","",IF(D77="Must",VLOOKUP(E77,Scoring!$A$2:$C$7,2,FALSE),VLOOKUP(E77,Scoring!$A$2:$C$7,3,FALSE)))</f>
        <v/>
      </c>
      <c r="I77" s="9">
        <f>IF(D77="Must",Scoring!$F$2,Scoring!$F$3)</f>
        <v>3</v>
      </c>
      <c r="J77" s="10" t="str">
        <f t="shared" si="3"/>
        <v/>
      </c>
    </row>
    <row r="78" spans="1:10" x14ac:dyDescent="0.25">
      <c r="A78" t="s">
        <v>197</v>
      </c>
      <c r="B78" t="s">
        <v>191</v>
      </c>
      <c r="C78" t="s">
        <v>198</v>
      </c>
      <c r="D78" t="s">
        <v>23</v>
      </c>
      <c r="H78" s="9" t="str">
        <f>IF(E78="","",IF(D78="Must",VLOOKUP(E78,Scoring!$A$2:$C$7,2,FALSE),VLOOKUP(E78,Scoring!$A$2:$C$7,3,FALSE)))</f>
        <v/>
      </c>
      <c r="I78" s="9">
        <f>IF(D78="Must",Scoring!$F$2,Scoring!$F$3)</f>
        <v>5</v>
      </c>
      <c r="J78" s="10" t="str">
        <f t="shared" si="3"/>
        <v/>
      </c>
    </row>
    <row r="79" spans="1:10" x14ac:dyDescent="0.25">
      <c r="A79" t="s">
        <v>199</v>
      </c>
      <c r="B79" t="s">
        <v>191</v>
      </c>
      <c r="C79" t="s">
        <v>200</v>
      </c>
      <c r="D79" t="s">
        <v>24</v>
      </c>
      <c r="H79" s="9" t="str">
        <f>IF(E79="","",IF(D79="Must",VLOOKUP(E79,Scoring!$A$2:$C$7,2,FALSE),VLOOKUP(E79,Scoring!$A$2:$C$7,3,FALSE)))</f>
        <v/>
      </c>
      <c r="I79" s="9">
        <f>IF(D79="Must",Scoring!$F$2,Scoring!$F$3)</f>
        <v>3</v>
      </c>
      <c r="J79" s="10" t="str">
        <f t="shared" si="3"/>
        <v/>
      </c>
    </row>
    <row r="80" spans="1:10" x14ac:dyDescent="0.25">
      <c r="A80" t="s">
        <v>201</v>
      </c>
      <c r="B80" t="s">
        <v>191</v>
      </c>
      <c r="C80" t="s">
        <v>202</v>
      </c>
      <c r="D80" t="s">
        <v>24</v>
      </c>
      <c r="H80" s="9" t="str">
        <f>IF(E80="","",IF(D80="Must",VLOOKUP(E80,Scoring!$A$2:$C$7,2,FALSE),VLOOKUP(E80,Scoring!$A$2:$C$7,3,FALSE)))</f>
        <v/>
      </c>
      <c r="I80" s="9">
        <f>IF(D80="Must",Scoring!$F$2,Scoring!$F$3)</f>
        <v>3</v>
      </c>
      <c r="J80" s="10" t="str">
        <f t="shared" si="3"/>
        <v/>
      </c>
    </row>
    <row r="81" spans="1:10" x14ac:dyDescent="0.25">
      <c r="A81" t="s">
        <v>203</v>
      </c>
      <c r="B81" t="s">
        <v>204</v>
      </c>
      <c r="C81" t="s">
        <v>205</v>
      </c>
      <c r="D81" t="s">
        <v>23</v>
      </c>
      <c r="H81" s="9" t="str">
        <f>IF(E81="","",IF(D81="Must",VLOOKUP(E81,Scoring!$A$2:$C$7,2,FALSE),VLOOKUP(E81,Scoring!$A$2:$C$7,3,FALSE)))</f>
        <v/>
      </c>
      <c r="I81" s="9">
        <f>IF(D81="Must",Scoring!$F$2,Scoring!$F$3)</f>
        <v>5</v>
      </c>
      <c r="J81" s="10" t="str">
        <f t="shared" si="3"/>
        <v/>
      </c>
    </row>
    <row r="82" spans="1:10" x14ac:dyDescent="0.25">
      <c r="A82" t="s">
        <v>206</v>
      </c>
      <c r="B82" t="s">
        <v>204</v>
      </c>
      <c r="C82" t="s">
        <v>207</v>
      </c>
      <c r="D82" t="s">
        <v>23</v>
      </c>
      <c r="H82" s="9" t="str">
        <f>IF(E82="","",IF(D82="Must",VLOOKUP(E82,Scoring!$A$2:$C$7,2,FALSE),VLOOKUP(E82,Scoring!$A$2:$C$7,3,FALSE)))</f>
        <v/>
      </c>
      <c r="I82" s="9">
        <f>IF(D82="Must",Scoring!$F$2,Scoring!$F$3)</f>
        <v>5</v>
      </c>
      <c r="J82" s="10" t="str">
        <f t="shared" si="3"/>
        <v/>
      </c>
    </row>
    <row r="83" spans="1:10" x14ac:dyDescent="0.25">
      <c r="A83" t="s">
        <v>208</v>
      </c>
      <c r="B83" t="s">
        <v>204</v>
      </c>
      <c r="C83" t="s">
        <v>209</v>
      </c>
      <c r="D83" t="s">
        <v>23</v>
      </c>
      <c r="H83" s="9" t="str">
        <f>IF(E83="","",IF(D83="Must",VLOOKUP(E83,Scoring!$A$2:$C$7,2,FALSE),VLOOKUP(E83,Scoring!$A$2:$C$7,3,FALSE)))</f>
        <v/>
      </c>
      <c r="I83" s="9">
        <f>IF(D83="Must",Scoring!$F$2,Scoring!$F$3)</f>
        <v>5</v>
      </c>
      <c r="J83" s="10" t="str">
        <f t="shared" si="3"/>
        <v/>
      </c>
    </row>
    <row r="84" spans="1:10" x14ac:dyDescent="0.25">
      <c r="A84" t="s">
        <v>210</v>
      </c>
      <c r="B84" t="s">
        <v>204</v>
      </c>
      <c r="C84" t="s">
        <v>211</v>
      </c>
      <c r="D84" t="s">
        <v>24</v>
      </c>
      <c r="H84" s="9" t="str">
        <f>IF(E84="","",IF(D84="Must",VLOOKUP(E84,Scoring!$A$2:$C$7,2,FALSE),VLOOKUP(E84,Scoring!$A$2:$C$7,3,FALSE)))</f>
        <v/>
      </c>
      <c r="I84" s="9">
        <f>IF(D84="Must",Scoring!$F$2,Scoring!$F$3)</f>
        <v>3</v>
      </c>
      <c r="J84" s="10" t="str">
        <f t="shared" si="3"/>
        <v/>
      </c>
    </row>
    <row r="85" spans="1:10" x14ac:dyDescent="0.25">
      <c r="A85" t="s">
        <v>212</v>
      </c>
      <c r="B85" t="s">
        <v>204</v>
      </c>
      <c r="C85" t="s">
        <v>213</v>
      </c>
      <c r="D85" t="s">
        <v>23</v>
      </c>
      <c r="H85" s="9" t="str">
        <f>IF(E85="","",IF(D85="Must",VLOOKUP(E85,Scoring!$A$2:$C$7,2,FALSE),VLOOKUP(E85,Scoring!$A$2:$C$7,3,FALSE)))</f>
        <v/>
      </c>
      <c r="I85" s="9">
        <f>IF(D85="Must",Scoring!$F$2,Scoring!$F$3)</f>
        <v>5</v>
      </c>
      <c r="J85" s="10" t="str">
        <f t="shared" si="3"/>
        <v/>
      </c>
    </row>
    <row r="86" spans="1:10" x14ac:dyDescent="0.25">
      <c r="A86" t="s">
        <v>214</v>
      </c>
      <c r="B86" t="s">
        <v>204</v>
      </c>
      <c r="C86" t="s">
        <v>215</v>
      </c>
      <c r="D86" t="s">
        <v>23</v>
      </c>
      <c r="H86" s="9" t="str">
        <f>IF(E86="","",IF(D86="Must",VLOOKUP(E86,Scoring!$A$2:$C$7,2,FALSE),VLOOKUP(E86,Scoring!$A$2:$C$7,3,FALSE)))</f>
        <v/>
      </c>
      <c r="I86" s="9">
        <f>IF(D86="Must",Scoring!$F$2,Scoring!$F$3)</f>
        <v>5</v>
      </c>
      <c r="J86" s="10" t="str">
        <f t="shared" si="3"/>
        <v/>
      </c>
    </row>
    <row r="87" spans="1:10" x14ac:dyDescent="0.25">
      <c r="A87" t="s">
        <v>216</v>
      </c>
      <c r="B87" t="s">
        <v>217</v>
      </c>
      <c r="C87" t="s">
        <v>218</v>
      </c>
      <c r="D87" t="s">
        <v>23</v>
      </c>
      <c r="H87" s="9" t="str">
        <f>IF(E87="","",IF(D87="Must",VLOOKUP(E87,Scoring!$A$2:$C$7,2,FALSE),VLOOKUP(E87,Scoring!$A$2:$C$7,3,FALSE)))</f>
        <v/>
      </c>
      <c r="I87" s="9">
        <f>IF(D87="Must",Scoring!$F$2,Scoring!$F$3)</f>
        <v>5</v>
      </c>
      <c r="J87" s="10" t="str">
        <f t="shared" si="3"/>
        <v/>
      </c>
    </row>
    <row r="88" spans="1:10" x14ac:dyDescent="0.25">
      <c r="A88" t="s">
        <v>219</v>
      </c>
      <c r="B88" t="s">
        <v>217</v>
      </c>
      <c r="C88" t="s">
        <v>220</v>
      </c>
      <c r="D88" t="s">
        <v>23</v>
      </c>
      <c r="H88" s="9" t="str">
        <f>IF(E88="","",IF(D88="Must",VLOOKUP(E88,Scoring!$A$2:$C$7,2,FALSE),VLOOKUP(E88,Scoring!$A$2:$C$7,3,FALSE)))</f>
        <v/>
      </c>
      <c r="I88" s="9">
        <f>IF(D88="Must",Scoring!$F$2,Scoring!$F$3)</f>
        <v>5</v>
      </c>
      <c r="J88" s="10" t="str">
        <f t="shared" si="3"/>
        <v/>
      </c>
    </row>
    <row r="89" spans="1:10" x14ac:dyDescent="0.25">
      <c r="A89" t="s">
        <v>221</v>
      </c>
      <c r="B89" t="s">
        <v>222</v>
      </c>
      <c r="C89" t="s">
        <v>223</v>
      </c>
      <c r="D89" t="s">
        <v>23</v>
      </c>
      <c r="H89" s="9" t="str">
        <f>IF(E89="","",IF(D89="Must",VLOOKUP(E89,Scoring!$A$2:$C$7,2,FALSE),VLOOKUP(E89,Scoring!$A$2:$C$7,3,FALSE)))</f>
        <v/>
      </c>
      <c r="I89" s="9">
        <f>IF(D89="Must",Scoring!$F$2,Scoring!$F$3)</f>
        <v>5</v>
      </c>
      <c r="J89" s="10" t="str">
        <f t="shared" si="3"/>
        <v/>
      </c>
    </row>
    <row r="90" spans="1:10" x14ac:dyDescent="0.25">
      <c r="A90" t="s">
        <v>224</v>
      </c>
      <c r="B90" t="s">
        <v>222</v>
      </c>
      <c r="C90" t="s">
        <v>225</v>
      </c>
      <c r="D90" t="s">
        <v>23</v>
      </c>
      <c r="H90" s="9" t="str">
        <f>IF(E90="","",IF(D90="Must",VLOOKUP(E90,Scoring!$A$2:$C$7,2,FALSE),VLOOKUP(E90,Scoring!$A$2:$C$7,3,FALSE)))</f>
        <v/>
      </c>
      <c r="I90" s="9">
        <f>IF(D90="Must",Scoring!$F$2,Scoring!$F$3)</f>
        <v>5</v>
      </c>
      <c r="J90" s="10" t="str">
        <f t="shared" si="3"/>
        <v/>
      </c>
    </row>
    <row r="91" spans="1:10" x14ac:dyDescent="0.25">
      <c r="A91" t="s">
        <v>226</v>
      </c>
      <c r="B91" t="s">
        <v>227</v>
      </c>
      <c r="C91" t="s">
        <v>228</v>
      </c>
      <c r="D91" t="s">
        <v>23</v>
      </c>
      <c r="H91" s="9" t="str">
        <f>IF(E91="","",IF(D91="Must",VLOOKUP(E91,Scoring!$A$2:$C$7,2,FALSE),VLOOKUP(E91,Scoring!$A$2:$C$7,3,FALSE)))</f>
        <v/>
      </c>
      <c r="I91" s="9">
        <f>IF(D91="Must",Scoring!$F$2,Scoring!$F$3)</f>
        <v>5</v>
      </c>
      <c r="J91" s="10" t="str">
        <f t="shared" si="3"/>
        <v/>
      </c>
    </row>
    <row r="92" spans="1:10" x14ac:dyDescent="0.25">
      <c r="A92" t="s">
        <v>229</v>
      </c>
      <c r="B92" t="s">
        <v>227</v>
      </c>
      <c r="C92" t="s">
        <v>230</v>
      </c>
      <c r="D92" t="s">
        <v>23</v>
      </c>
      <c r="H92" s="9" t="str">
        <f>IF(E92="","",IF(D92="Must",VLOOKUP(E92,Scoring!$A$2:$C$7,2,FALSE),VLOOKUP(E92,Scoring!$A$2:$C$7,3,FALSE)))</f>
        <v/>
      </c>
      <c r="I92" s="9">
        <f>IF(D92="Must",Scoring!$F$2,Scoring!$F$3)</f>
        <v>5</v>
      </c>
      <c r="J92" s="10" t="str">
        <f t="shared" si="3"/>
        <v/>
      </c>
    </row>
    <row r="93" spans="1:10" x14ac:dyDescent="0.25">
      <c r="A93" t="s">
        <v>231</v>
      </c>
      <c r="B93" t="s">
        <v>227</v>
      </c>
      <c r="C93" t="s">
        <v>232</v>
      </c>
      <c r="D93" t="s">
        <v>23</v>
      </c>
      <c r="H93" s="9" t="str">
        <f>IF(E93="","",IF(D93="Must",VLOOKUP(E93,Scoring!$A$2:$C$7,2,FALSE),VLOOKUP(E93,Scoring!$A$2:$C$7,3,FALSE)))</f>
        <v/>
      </c>
      <c r="I93" s="9">
        <f>IF(D93="Must",Scoring!$F$2,Scoring!$F$3)</f>
        <v>5</v>
      </c>
      <c r="J93" s="10" t="str">
        <f t="shared" si="3"/>
        <v/>
      </c>
    </row>
    <row r="94" spans="1:10" x14ac:dyDescent="0.25">
      <c r="A94" t="s">
        <v>233</v>
      </c>
      <c r="B94" t="s">
        <v>227</v>
      </c>
      <c r="C94" t="s">
        <v>234</v>
      </c>
      <c r="D94" t="s">
        <v>23</v>
      </c>
      <c r="H94" s="9" t="str">
        <f>IF(E94="","",IF(D94="Must",VLOOKUP(E94,Scoring!$A$2:$C$7,2,FALSE),VLOOKUP(E94,Scoring!$A$2:$C$7,3,FALSE)))</f>
        <v/>
      </c>
      <c r="I94" s="9">
        <f>IF(D94="Must",Scoring!$F$2,Scoring!$F$3)</f>
        <v>5</v>
      </c>
      <c r="J94" s="10" t="str">
        <f t="shared" si="3"/>
        <v/>
      </c>
    </row>
    <row r="95" spans="1:10" x14ac:dyDescent="0.25">
      <c r="A95" t="s">
        <v>235</v>
      </c>
      <c r="B95" t="s">
        <v>227</v>
      </c>
      <c r="C95" t="s">
        <v>236</v>
      </c>
      <c r="D95" t="s">
        <v>23</v>
      </c>
      <c r="H95" s="9" t="str">
        <f>IF(E95="","",IF(D95="Must",VLOOKUP(E95,Scoring!$A$2:$C$7,2,FALSE),VLOOKUP(E95,Scoring!$A$2:$C$7,3,FALSE)))</f>
        <v/>
      </c>
      <c r="I95" s="9">
        <f>IF(D95="Must",Scoring!$F$2,Scoring!$F$3)</f>
        <v>5</v>
      </c>
      <c r="J95" s="10" t="str">
        <f t="shared" si="3"/>
        <v/>
      </c>
    </row>
    <row r="96" spans="1:10" x14ac:dyDescent="0.25">
      <c r="A96" t="s">
        <v>237</v>
      </c>
      <c r="B96" t="s">
        <v>238</v>
      </c>
      <c r="C96" t="s">
        <v>239</v>
      </c>
      <c r="D96" t="s">
        <v>24</v>
      </c>
      <c r="H96" s="9" t="str">
        <f>IF(E96="","",IF(D96="Must",VLOOKUP(E96,Scoring!$A$2:$C$7,2,FALSE),VLOOKUP(E96,Scoring!$A$2:$C$7,3,FALSE)))</f>
        <v/>
      </c>
      <c r="I96" s="9">
        <f>IF(D96="Must",Scoring!$F$2,Scoring!$F$3)</f>
        <v>3</v>
      </c>
      <c r="J96" s="10" t="str">
        <f t="shared" si="3"/>
        <v/>
      </c>
    </row>
    <row r="97" spans="1:10" x14ac:dyDescent="0.25">
      <c r="A97" t="s">
        <v>240</v>
      </c>
      <c r="B97" t="s">
        <v>238</v>
      </c>
      <c r="C97" t="s">
        <v>241</v>
      </c>
      <c r="D97" t="s">
        <v>23</v>
      </c>
      <c r="H97" s="9" t="str">
        <f>IF(E97="","",IF(D97="Must",VLOOKUP(E97,Scoring!$A$2:$C$7,2,FALSE),VLOOKUP(E97,Scoring!$A$2:$C$7,3,FALSE)))</f>
        <v/>
      </c>
      <c r="I97" s="9">
        <f>IF(D97="Must",Scoring!$F$2,Scoring!$F$3)</f>
        <v>5</v>
      </c>
      <c r="J97" s="10" t="str">
        <f t="shared" si="3"/>
        <v/>
      </c>
    </row>
    <row r="98" spans="1:10" x14ac:dyDescent="0.25">
      <c r="A98" t="s">
        <v>242</v>
      </c>
      <c r="B98" t="s">
        <v>238</v>
      </c>
      <c r="C98" t="s">
        <v>243</v>
      </c>
      <c r="D98" t="s">
        <v>24</v>
      </c>
      <c r="H98" s="9" t="str">
        <f>IF(E98="","",IF(D98="Must",VLOOKUP(E98,Scoring!$A$2:$C$7,2,FALSE),VLOOKUP(E98,Scoring!$A$2:$C$7,3,FALSE)))</f>
        <v/>
      </c>
      <c r="I98" s="9">
        <f>IF(D98="Must",Scoring!$F$2,Scoring!$F$3)</f>
        <v>3</v>
      </c>
      <c r="J98" s="10" t="str">
        <f t="shared" si="3"/>
        <v/>
      </c>
    </row>
    <row r="99" spans="1:10" x14ac:dyDescent="0.25">
      <c r="A99" t="s">
        <v>244</v>
      </c>
      <c r="B99" t="s">
        <v>238</v>
      </c>
      <c r="C99" t="s">
        <v>245</v>
      </c>
      <c r="D99" t="s">
        <v>24</v>
      </c>
      <c r="H99" s="9" t="str">
        <f>IF(E99="","",IF(D99="Must",VLOOKUP(E99,Scoring!$A$2:$C$7,2,FALSE),VLOOKUP(E99,Scoring!$A$2:$C$7,3,FALSE)))</f>
        <v/>
      </c>
      <c r="I99" s="9">
        <f>IF(D99="Must",Scoring!$F$2,Scoring!$F$3)</f>
        <v>3</v>
      </c>
      <c r="J99" s="10" t="str">
        <f t="shared" si="3"/>
        <v/>
      </c>
    </row>
    <row r="100" spans="1:10" x14ac:dyDescent="0.25">
      <c r="A100" t="s">
        <v>246</v>
      </c>
      <c r="B100" t="s">
        <v>238</v>
      </c>
      <c r="C100" t="s">
        <v>247</v>
      </c>
      <c r="D100" t="s">
        <v>24</v>
      </c>
      <c r="H100" s="9" t="str">
        <f>IF(E100="","",IF(D100="Must",VLOOKUP(E100,Scoring!$A$2:$C$7,2,FALSE),VLOOKUP(E100,Scoring!$A$2:$C$7,3,FALSE)))</f>
        <v/>
      </c>
      <c r="I100" s="9">
        <f>IF(D100="Must",Scoring!$F$2,Scoring!$F$3)</f>
        <v>3</v>
      </c>
      <c r="J100" s="10" t="str">
        <f t="shared" si="3"/>
        <v/>
      </c>
    </row>
    <row r="101" spans="1:10" x14ac:dyDescent="0.25">
      <c r="A101" t="s">
        <v>248</v>
      </c>
      <c r="B101" t="s">
        <v>238</v>
      </c>
      <c r="C101" t="s">
        <v>249</v>
      </c>
      <c r="D101" t="s">
        <v>24</v>
      </c>
      <c r="H101" s="9" t="str">
        <f>IF(E101="","",IF(D101="Must",VLOOKUP(E101,Scoring!$A$2:$C$7,2,FALSE),VLOOKUP(E101,Scoring!$A$2:$C$7,3,FALSE)))</f>
        <v/>
      </c>
      <c r="I101" s="9">
        <f>IF(D101="Must",Scoring!$F$2,Scoring!$F$3)</f>
        <v>3</v>
      </c>
      <c r="J101" s="10" t="str">
        <f t="shared" si="3"/>
        <v/>
      </c>
    </row>
    <row r="102" spans="1:10" x14ac:dyDescent="0.25">
      <c r="A102" t="s">
        <v>250</v>
      </c>
      <c r="B102" t="s">
        <v>251</v>
      </c>
      <c r="C102" t="s">
        <v>252</v>
      </c>
      <c r="D102" t="s">
        <v>24</v>
      </c>
      <c r="H102" s="9" t="str">
        <f>IF(E102="","",IF(D102="Must",VLOOKUP(E102,Scoring!$A$2:$C$7,2,FALSE),VLOOKUP(E102,Scoring!$A$2:$C$7,3,FALSE)))</f>
        <v/>
      </c>
      <c r="I102" s="9">
        <f>IF(D102="Must",Scoring!$F$2,Scoring!$F$3)</f>
        <v>3</v>
      </c>
      <c r="J102" s="10" t="str">
        <f t="shared" si="3"/>
        <v/>
      </c>
    </row>
    <row r="103" spans="1:10" x14ac:dyDescent="0.25">
      <c r="A103" t="s">
        <v>253</v>
      </c>
      <c r="B103" t="s">
        <v>251</v>
      </c>
      <c r="C103" t="s">
        <v>247</v>
      </c>
      <c r="D103" t="s">
        <v>24</v>
      </c>
      <c r="H103" s="9" t="str">
        <f>IF(E103="","",IF(D103="Must",VLOOKUP(E103,Scoring!$A$2:$C$7,2,FALSE),VLOOKUP(E103,Scoring!$A$2:$C$7,3,FALSE)))</f>
        <v/>
      </c>
      <c r="I103" s="9">
        <f>IF(D103="Must",Scoring!$F$2,Scoring!$F$3)</f>
        <v>3</v>
      </c>
      <c r="J103" s="10" t="str">
        <f t="shared" si="3"/>
        <v/>
      </c>
    </row>
    <row r="104" spans="1:10" x14ac:dyDescent="0.25">
      <c r="A104" t="s">
        <v>254</v>
      </c>
      <c r="B104" t="s">
        <v>251</v>
      </c>
      <c r="C104" t="s">
        <v>255</v>
      </c>
      <c r="D104" t="s">
        <v>24</v>
      </c>
      <c r="H104" s="9" t="str">
        <f>IF(E104="","",IF(D104="Must",VLOOKUP(E104,Scoring!$A$2:$C$7,2,FALSE),VLOOKUP(E104,Scoring!$A$2:$C$7,3,FALSE)))</f>
        <v/>
      </c>
      <c r="I104" s="9">
        <f>IF(D104="Must",Scoring!$F$2,Scoring!$F$3)</f>
        <v>3</v>
      </c>
      <c r="J104" s="10" t="str">
        <f t="shared" si="3"/>
        <v/>
      </c>
    </row>
    <row r="105" spans="1:10" x14ac:dyDescent="0.25">
      <c r="H105" s="9" t="str">
        <f>IF(E105="","",IF(D105="Must",VLOOKUP(E105,Scoring!$A$2:$C$7,2,FALSE),VLOOKUP(E105,Scoring!$A$2:$C$7,3,FALSE)))</f>
        <v/>
      </c>
      <c r="I105" s="9"/>
      <c r="J105" s="9"/>
    </row>
    <row r="106" spans="1:10" x14ac:dyDescent="0.25">
      <c r="G106" t="s">
        <v>256</v>
      </c>
      <c r="H106" s="9">
        <f>SUM(H3:H104)</f>
        <v>0</v>
      </c>
      <c r="I106" s="9">
        <f>SUM(I3:I104)</f>
        <v>402</v>
      </c>
      <c r="J106" s="11">
        <f>IF(I106=0,"",H106/I106)</f>
        <v>0</v>
      </c>
    </row>
    <row r="108" spans="1:10" x14ac:dyDescent="0.25">
      <c r="C108" s="6" t="s">
        <v>257</v>
      </c>
    </row>
    <row r="109" spans="1:10" x14ac:dyDescent="0.25">
      <c r="C109" s="6"/>
    </row>
    <row r="110" spans="1:10" x14ac:dyDescent="0.25">
      <c r="C110" s="6" t="s">
        <v>258</v>
      </c>
    </row>
    <row r="111" spans="1:10" x14ac:dyDescent="0.25">
      <c r="C111" s="6" t="s">
        <v>259</v>
      </c>
    </row>
    <row r="112" spans="1:10" x14ac:dyDescent="0.25">
      <c r="C112" s="6"/>
    </row>
    <row r="113" spans="3:3" x14ac:dyDescent="0.25">
      <c r="C113" s="6" t="s">
        <v>260</v>
      </c>
    </row>
    <row r="114" spans="3:3" x14ac:dyDescent="0.25">
      <c r="C114" s="6"/>
    </row>
    <row r="115" spans="3:3" x14ac:dyDescent="0.25">
      <c r="C115" s="6" t="s">
        <v>261</v>
      </c>
    </row>
    <row r="116" spans="3:3" x14ac:dyDescent="0.25">
      <c r="C116" s="6"/>
    </row>
    <row r="117" spans="3:3" x14ac:dyDescent="0.25">
      <c r="C117" s="6" t="s">
        <v>262</v>
      </c>
    </row>
    <row r="118" spans="3:3" x14ac:dyDescent="0.25">
      <c r="C118" s="6"/>
    </row>
    <row r="119" spans="3:3" ht="15.75" thickBot="1" x14ac:dyDescent="0.3">
      <c r="C119" s="7"/>
    </row>
  </sheetData>
  <sheetProtection algorithmName="SHA-512" hashValue="D7OE5Rm8M/phB7/s+ioHUD5+NsED6aJ8PAygzT6RWA4PM3MJCifE1EMqGfTLZV5VpRL47ENzRfY6AZTEMugzmQ==" saltValue="qzlme8AIiBav5PKq1hzG4A==" spinCount="100000" sheet="1" objects="1" scenarios="1" selectLockedCells="1"/>
  <autoFilter ref="A2:J90" xr:uid="{00000000-0009-0000-0000-000002000000}"/>
  <phoneticPr fontId="4" type="noConversion"/>
  <conditionalFormatting sqref="E3:E104">
    <cfRule type="cellIs" dxfId="5" priority="1" operator="equal">
      <formula>"M"</formula>
    </cfRule>
    <cfRule type="cellIs" dxfId="4" priority="2" operator="equal">
      <formula>"C"</formula>
    </cfRule>
    <cfRule type="cellIs" dxfId="3" priority="3" operator="equal">
      <formula>"X"</formula>
    </cfRule>
    <cfRule type="cellIs" dxfId="2" priority="4" operator="equal">
      <formula>"P"</formula>
    </cfRule>
    <cfRule type="cellIs" dxfId="1" priority="5" operator="equal">
      <formula>"R"</formula>
    </cfRule>
    <cfRule type="cellIs" dxfId="0" priority="6" operator="equal">
      <formula>"N"</formula>
    </cfRule>
  </conditionalFormatting>
  <dataValidations count="1">
    <dataValidation type="list" allowBlank="1" showInputMessage="1" showErrorMessage="1" sqref="E3:E104" xr:uid="{00000000-0002-0000-0200-000000000000}">
      <formula1>"Meets OOTB,Configuration,Extension/Low-code,Partner/3rd party,Not available,Road map (note date)"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sqref="A1:E22"/>
    </sheetView>
  </sheetViews>
  <sheetFormatPr defaultRowHeight="15" x14ac:dyDescent="0.25"/>
  <cols>
    <col min="1" max="1" width="19.28515625" bestFit="1" customWidth="1"/>
    <col min="2" max="3" width="5.5703125" bestFit="1" customWidth="1"/>
    <col min="4" max="4" width="4.5703125" bestFit="1" customWidth="1"/>
    <col min="5" max="5" width="11" bestFit="1" customWidth="1"/>
  </cols>
  <sheetData>
    <row r="1" spans="1:5" x14ac:dyDescent="0.25">
      <c r="A1" s="3" t="s">
        <v>28</v>
      </c>
      <c r="B1" s="3" t="s">
        <v>263</v>
      </c>
      <c r="C1" s="3" t="s">
        <v>33</v>
      </c>
      <c r="D1" s="3" t="s">
        <v>264</v>
      </c>
      <c r="E1" s="3" t="s">
        <v>265</v>
      </c>
    </row>
    <row r="2" spans="1:5" x14ac:dyDescent="0.25">
      <c r="A2" t="s">
        <v>36</v>
      </c>
      <c r="B2">
        <f>COUNTIF('SOFTWARE Response Matrix'!$B$3:$B$104,"Incident")</f>
        <v>9</v>
      </c>
      <c r="C2">
        <f>SUMIF('SOFTWARE Response Matrix'!$B$3:$B$104,"Incident",'SOFTWARE Response Matrix'!$H$3:$H$104)</f>
        <v>0</v>
      </c>
      <c r="D2">
        <f>SUMIF('SOFTWARE Response Matrix'!$B$3:$B$90,"Incident",'SOFTWARE Response Matrix'!$I$3:$I$90)</f>
        <v>37</v>
      </c>
      <c r="E2" s="4">
        <f t="shared" ref="E2:E19" si="0">IF(D2=0,"",C2/D2)</f>
        <v>0</v>
      </c>
    </row>
    <row r="3" spans="1:5" x14ac:dyDescent="0.25">
      <c r="A3" t="s">
        <v>55</v>
      </c>
      <c r="B3">
        <f>COUNTIF('SOFTWARE Response Matrix'!$B$3:$B$104,"Major Incident")</f>
        <v>4</v>
      </c>
      <c r="C3">
        <f>SUMIF('SOFTWARE Response Matrix'!$B$3:$B$104,"Major Incident",'SOFTWARE Response Matrix'!$H$3:$H$104)</f>
        <v>0</v>
      </c>
      <c r="D3">
        <f>SUMIF('SOFTWARE Response Matrix'!$B$3:$B$90,"Major Incident",'SOFTWARE Response Matrix'!$I$3:$I$90)</f>
        <v>12</v>
      </c>
      <c r="E3" s="4">
        <f t="shared" si="0"/>
        <v>0</v>
      </c>
    </row>
    <row r="4" spans="1:5" x14ac:dyDescent="0.25">
      <c r="A4" t="s">
        <v>64</v>
      </c>
      <c r="B4">
        <f>COUNTIF('SOFTWARE Response Matrix'!$B$3:$B$104,"Request")</f>
        <v>8</v>
      </c>
      <c r="C4">
        <f>SUMIF('SOFTWARE Response Matrix'!$B$3:$B$104,"Request",'SOFTWARE Response Matrix'!$H$3:$H$104)</f>
        <v>0</v>
      </c>
      <c r="D4">
        <f>SUMIF('SOFTWARE Response Matrix'!$B$3:$B$90,"Request",'SOFTWARE Response Matrix'!$I$3:$I$90)</f>
        <v>34</v>
      </c>
      <c r="E4" s="4">
        <f t="shared" si="0"/>
        <v>0</v>
      </c>
    </row>
    <row r="5" spans="1:5" x14ac:dyDescent="0.25">
      <c r="A5" t="s">
        <v>81</v>
      </c>
      <c r="B5">
        <f>COUNTIF('SOFTWARE Response Matrix'!$B$3:$B$104,"Knowledge")</f>
        <v>6</v>
      </c>
      <c r="C5">
        <f>SUMIF('SOFTWARE Response Matrix'!$B$3:$B$104,"Knowledge",'SOFTWARE Response Matrix'!$H$3:$H$104)</f>
        <v>0</v>
      </c>
      <c r="D5">
        <f>SUMIF('SOFTWARE Response Matrix'!$B$3:$B$90,"Knowledge",'SOFTWARE Response Matrix'!$I$3:$I$90)</f>
        <v>20</v>
      </c>
      <c r="E5" s="4">
        <f t="shared" si="0"/>
        <v>0</v>
      </c>
    </row>
    <row r="6" spans="1:5" x14ac:dyDescent="0.25">
      <c r="A6" t="s">
        <v>94</v>
      </c>
      <c r="B6">
        <f>COUNTIF('SOFTWARE Response Matrix'!$B$3:$B$104,"Problem")</f>
        <v>6</v>
      </c>
      <c r="C6">
        <f>SUMIF('SOFTWARE Response Matrix'!$B$3:$B$104,"Problem",'SOFTWARE Response Matrix'!$H$3:$H$104)</f>
        <v>0</v>
      </c>
      <c r="D6">
        <f>SUMIF('SOFTWARE Response Matrix'!$B$3:$B$90,"Problem",'SOFTWARE Response Matrix'!$I$3:$I$90)</f>
        <v>22</v>
      </c>
      <c r="E6" s="4">
        <f t="shared" si="0"/>
        <v>0</v>
      </c>
    </row>
    <row r="7" spans="1:5" x14ac:dyDescent="0.25">
      <c r="A7" t="s">
        <v>107</v>
      </c>
      <c r="B7">
        <f>COUNTIF('SOFTWARE Response Matrix'!$B$3:$B$104,"Change")</f>
        <v>8</v>
      </c>
      <c r="C7">
        <f>SUMIF('SOFTWARE Response Matrix'!$B$3:$B$104,"Change",'SOFTWARE Response Matrix'!$H$3:$H$104)</f>
        <v>0</v>
      </c>
      <c r="D7">
        <f>SUMIF('SOFTWARE Response Matrix'!$B$3:$B$90,"Change",'SOFTWARE Response Matrix'!$I$3:$I$90)</f>
        <v>30</v>
      </c>
      <c r="E7" s="4">
        <f t="shared" si="0"/>
        <v>0</v>
      </c>
    </row>
    <row r="8" spans="1:5" x14ac:dyDescent="0.25">
      <c r="A8" t="s">
        <v>124</v>
      </c>
      <c r="B8">
        <f>COUNTIF('SOFTWARE Response Matrix'!$B$3:$B$104,"CMDB")</f>
        <v>8</v>
      </c>
      <c r="C8">
        <f>SUMIF('SOFTWARE Response Matrix'!$B$3:$B$104,"CMDB",'SOFTWARE Response Matrix'!$H$3:$H$104)</f>
        <v>0</v>
      </c>
      <c r="D8">
        <f>SUMIF('SOFTWARE Response Matrix'!$B$3:$B$90,"CMDB",'SOFTWARE Response Matrix'!$I$3:$I$90)</f>
        <v>34</v>
      </c>
      <c r="E8" s="4">
        <f t="shared" si="0"/>
        <v>0</v>
      </c>
    </row>
    <row r="9" spans="1:5" x14ac:dyDescent="0.25">
      <c r="A9" t="s">
        <v>141</v>
      </c>
      <c r="B9">
        <f>COUNTIF('SOFTWARE Response Matrix'!$B$3:$B$104,"Asset Integration")</f>
        <v>6</v>
      </c>
      <c r="C9">
        <f>SUMIF('SOFTWARE Response Matrix'!$B$3:$B$104,"Asset Integration",'SOFTWARE Response Matrix'!$H$3:$H$104)</f>
        <v>0</v>
      </c>
      <c r="D9">
        <f>SUMIF('SOFTWARE Response Matrix'!$B$3:$B$90,"Asset Integration",'SOFTWARE Response Matrix'!$I$3:$I$90)</f>
        <v>22</v>
      </c>
      <c r="E9" s="4">
        <f t="shared" si="0"/>
        <v>0</v>
      </c>
    </row>
    <row r="10" spans="1:5" x14ac:dyDescent="0.25">
      <c r="A10" t="s">
        <v>154</v>
      </c>
      <c r="B10">
        <f>COUNTIF('SOFTWARE Response Matrix'!$B$3:$B$104,"Automation")</f>
        <v>5</v>
      </c>
      <c r="C10">
        <f>SUMIF('SOFTWARE Response Matrix'!$B$3:$B$104,"Automation",'SOFTWARE Response Matrix'!$H$3:$H$104)</f>
        <v>0</v>
      </c>
      <c r="D10">
        <f>SUMIF('SOFTWARE Response Matrix'!$B$3:$B$90,"Automation",'SOFTWARE Response Matrix'!$I$3:$I$90)</f>
        <v>21</v>
      </c>
      <c r="E10" s="4">
        <f t="shared" si="0"/>
        <v>0</v>
      </c>
    </row>
    <row r="11" spans="1:5" x14ac:dyDescent="0.25">
      <c r="A11" t="s">
        <v>165</v>
      </c>
      <c r="B11">
        <f>COUNTIF('SOFTWARE Response Matrix'!$B$3:$B$104,"Reporting")</f>
        <v>6</v>
      </c>
      <c r="C11">
        <f>SUMIF('SOFTWARE Response Matrix'!$B$3:$B$104,"Reporting",'SOFTWARE Response Matrix'!$H$3:$H$104)</f>
        <v>0</v>
      </c>
      <c r="D11">
        <f>SUMIF('SOFTWARE Response Matrix'!$B$3:$B$90,"Reporting",'SOFTWARE Response Matrix'!$I$3:$I$90)</f>
        <v>22</v>
      </c>
      <c r="E11" s="4">
        <f t="shared" si="0"/>
        <v>0</v>
      </c>
    </row>
    <row r="12" spans="1:5" x14ac:dyDescent="0.25">
      <c r="A12" t="s">
        <v>178</v>
      </c>
      <c r="B12">
        <f>COUNTIF('SOFTWARE Response Matrix'!$B$3:$B$104,"UX")</f>
        <v>6</v>
      </c>
      <c r="C12">
        <f>SUMIF('SOFTWARE Response Matrix'!$B$3:$B$104,"UX",'SOFTWARE Response Matrix'!$H$3:$H$104)</f>
        <v>0</v>
      </c>
      <c r="D12">
        <f>SUMIF('SOFTWARE Response Matrix'!$B$3:$B$90,"UX",'SOFTWARE Response Matrix'!$I$3:$I$90)</f>
        <v>22</v>
      </c>
      <c r="E12" s="4">
        <f t="shared" si="0"/>
        <v>0</v>
      </c>
    </row>
    <row r="13" spans="1:5" x14ac:dyDescent="0.25">
      <c r="A13" t="s">
        <v>191</v>
      </c>
      <c r="B13">
        <f>COUNTIF('SOFTWARE Response Matrix'!$B$3:$B$104,"Administration")</f>
        <v>6</v>
      </c>
      <c r="C13">
        <f>SUMIF('SOFTWARE Response Matrix'!$B$3:$B$104,"Administration",'SOFTWARE Response Matrix'!$H$3:$H$104)</f>
        <v>0</v>
      </c>
      <c r="D13">
        <f>SUMIF('SOFTWARE Response Matrix'!$B$3:$B$90,"Administration",'SOFTWARE Response Matrix'!$I$3:$I$90)</f>
        <v>24</v>
      </c>
      <c r="E13" s="4">
        <f t="shared" si="0"/>
        <v>0</v>
      </c>
    </row>
    <row r="14" spans="1:5" x14ac:dyDescent="0.25">
      <c r="A14" t="s">
        <v>204</v>
      </c>
      <c r="B14">
        <f>COUNTIF('SOFTWARE Response Matrix'!$B$3:$B$104,"Integrations")</f>
        <v>6</v>
      </c>
      <c r="C14">
        <f>SUMIF('SOFTWARE Response Matrix'!$B$3:$B$104,"Integrations",'SOFTWARE Response Matrix'!$H$3:$H$104)</f>
        <v>0</v>
      </c>
      <c r="D14">
        <f>SUMIF('SOFTWARE Response Matrix'!$B$3:$B$90,"Integrations",'SOFTWARE Response Matrix'!$I$3:$I$90)</f>
        <v>28</v>
      </c>
      <c r="E14" s="4">
        <f t="shared" si="0"/>
        <v>0</v>
      </c>
    </row>
    <row r="15" spans="1:5" x14ac:dyDescent="0.25">
      <c r="A15" t="s">
        <v>217</v>
      </c>
      <c r="B15">
        <f>COUNTIF('SOFTWARE Response Matrix'!$B$3:$B$104,"Security/Compliance")</f>
        <v>2</v>
      </c>
      <c r="C15">
        <f>SUMIF('SOFTWARE Response Matrix'!$B$3:$B$104,"Security/Compliance",'SOFTWARE Response Matrix'!$H$3:$H$104)</f>
        <v>0</v>
      </c>
      <c r="D15">
        <f>SUMIF('SOFTWARE Response Matrix'!$B$3:$B$90,"Security/Compliance",'SOFTWARE Response Matrix'!$I$3:$I$90)</f>
        <v>10</v>
      </c>
      <c r="E15" s="4">
        <f t="shared" si="0"/>
        <v>0</v>
      </c>
    </row>
    <row r="16" spans="1:5" x14ac:dyDescent="0.25">
      <c r="A16" t="s">
        <v>222</v>
      </c>
      <c r="B16">
        <f>COUNTIF('SOFTWARE Response Matrix'!$B$3:$B$104,"Resilience")</f>
        <v>2</v>
      </c>
      <c r="C16">
        <f>SUMIF('SOFTWARE Response Matrix'!$B$3:$B$104,"Resilience",'SOFTWARE Response Matrix'!$H$3:$H$104)</f>
        <v>0</v>
      </c>
      <c r="D16">
        <f>SUMIF('SOFTWARE Response Matrix'!$B$3:$B$90,"Resilience",'SOFTWARE Response Matrix'!$I$3:$I$90)</f>
        <v>10</v>
      </c>
      <c r="E16" s="4">
        <f t="shared" si="0"/>
        <v>0</v>
      </c>
    </row>
    <row r="17" spans="1:5" x14ac:dyDescent="0.25">
      <c r="A17" t="s">
        <v>227</v>
      </c>
      <c r="B17">
        <f>COUNTIF('SOFTWARE Response Matrix'!$B$3:$B$104,"Mobile Application")</f>
        <v>5</v>
      </c>
      <c r="C17">
        <f>SUMIF('SOFTWARE Response Matrix'!$B$3:$B$104,"Mobile Application",'SOFTWARE Response Matrix'!$H$3:$H$104)</f>
        <v>0</v>
      </c>
      <c r="D17">
        <f ca="1">SUMIF('SOFTWARE Response Matrix'!$B$3:$B$104,"Mobile Application",'SOFTWARE Response Matrix'!$I$3:$I$90)</f>
        <v>25</v>
      </c>
      <c r="E17" s="4">
        <f t="shared" ca="1" si="0"/>
        <v>0</v>
      </c>
    </row>
    <row r="18" spans="1:5" x14ac:dyDescent="0.25">
      <c r="A18" t="s">
        <v>238</v>
      </c>
      <c r="B18">
        <f>COUNTIF('SOFTWARE Response Matrix'!$B$3:$B$104,"Hardware Asset")</f>
        <v>6</v>
      </c>
      <c r="C18">
        <f>SUMIF('SOFTWARE Response Matrix'!$B$3:$B$104,"Hardware Asset",'SOFTWARE Response Matrix'!$H$3:$H$104)</f>
        <v>0</v>
      </c>
      <c r="D18">
        <f ca="1">SUMIF('SOFTWARE Response Matrix'!$B$3:$B$104,"Hardware Asset",'SOFTWARE Response Matrix'!$I$3:$I$90)</f>
        <v>20</v>
      </c>
      <c r="E18" s="4">
        <f t="shared" ca="1" si="0"/>
        <v>0</v>
      </c>
    </row>
    <row r="19" spans="1:5" x14ac:dyDescent="0.25">
      <c r="A19" t="s">
        <v>251</v>
      </c>
      <c r="B19">
        <f>COUNTIF('SOFTWARE Response Matrix'!$B$3:$B$104,"Software Asset")</f>
        <v>3</v>
      </c>
      <c r="C19">
        <f>SUMIF('SOFTWARE Response Matrix'!$B$3:$B$104,"Software Asset",'SOFTWARE Response Matrix'!$H$3:$H$104)</f>
        <v>0</v>
      </c>
      <c r="D19">
        <f ca="1">SUMIF('SOFTWARE Response Matrix'!$B$3:$B$104,"Software Asset",'SOFTWARE Response Matrix'!$I$3:$I$90)</f>
        <v>9</v>
      </c>
      <c r="E19" s="4">
        <f t="shared" ca="1" si="0"/>
        <v>0</v>
      </c>
    </row>
    <row r="20" spans="1:5" x14ac:dyDescent="0.25">
      <c r="E20" s="4"/>
    </row>
    <row r="22" spans="1:5" x14ac:dyDescent="0.25">
      <c r="A22" t="s">
        <v>266</v>
      </c>
      <c r="B22">
        <f>SUM(B2:B19)</f>
        <v>102</v>
      </c>
      <c r="C22">
        <f>SUM(C2:C19)</f>
        <v>0</v>
      </c>
      <c r="D22">
        <f ca="1">SUM(D2:D19)</f>
        <v>402</v>
      </c>
      <c r="E22" s="4">
        <f ca="1">IF(D22=0,"",C22/D22)</f>
        <v>0</v>
      </c>
    </row>
  </sheetData>
  <sheetProtection sheet="1" objects="1" scenarios="1" selectLockedCell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1604CE6772F45B455A98855E8B4D4" ma:contentTypeVersion="17" ma:contentTypeDescription="Create a new document." ma:contentTypeScope="" ma:versionID="d67eb3de6408f2dd85f4fe4597360f78">
  <xsd:schema xmlns:xsd="http://www.w3.org/2001/XMLSchema" xmlns:xs="http://www.w3.org/2001/XMLSchema" xmlns:p="http://schemas.microsoft.com/office/2006/metadata/properties" xmlns:ns1="http://schemas.microsoft.com/sharepoint/v3" xmlns:ns2="71074e7c-f320-4585-9777-ee38b7f69685" xmlns:ns3="91811042-c5e9-4246-b9bb-64eb5daf0917" targetNamespace="http://schemas.microsoft.com/office/2006/metadata/properties" ma:root="true" ma:fieldsID="d3ad67e363f2d669f41e7fa95488c5ed" ns1:_="" ns2:_="" ns3:_="">
    <xsd:import namespace="http://schemas.microsoft.com/sharepoint/v3"/>
    <xsd:import namespace="71074e7c-f320-4585-9777-ee38b7f69685"/>
    <xsd:import namespace="91811042-c5e9-4246-b9bb-64eb5daf09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74e7c-f320-4585-9777-ee38b7f69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cfe51f-b26a-4d8e-9a63-6375ff3b21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11042-c5e9-4246-b9bb-64eb5daf0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b493809-ac39-455d-ae67-d530b052cd96}" ma:internalName="TaxCatchAll" ma:showField="CatchAllData" ma:web="91811042-c5e9-4246-b9bb-64eb5daf0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1074e7c-f320-4585-9777-ee38b7f69685">
      <Terms xmlns="http://schemas.microsoft.com/office/infopath/2007/PartnerControls"/>
    </lcf76f155ced4ddcb4097134ff3c332f>
    <TaxCatchAll xmlns="91811042-c5e9-4246-b9bb-64eb5daf0917" xsi:nil="true"/>
    <SharedWithUsers xmlns="91811042-c5e9-4246-b9bb-64eb5daf091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68574A5-1DAB-43A5-BC47-BFAB58E85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97C2E-BF3B-45BE-8C3C-35E913414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074e7c-f320-4585-9777-ee38b7f69685"/>
    <ds:schemaRef ds:uri="91811042-c5e9-4246-b9bb-64eb5daf0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30F55-D92E-4E10-B593-64F4559FB2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074e7c-f320-4585-9777-ee38b7f69685"/>
    <ds:schemaRef ds:uri="91811042-c5e9-4246-b9bb-64eb5daf09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Scoring</vt:lpstr>
      <vt:lpstr>SOFTWARE Response Matrix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Cody Walters</cp:lastModifiedBy>
  <cp:revision/>
  <dcterms:created xsi:type="dcterms:W3CDTF">2025-10-21T21:26:29Z</dcterms:created>
  <dcterms:modified xsi:type="dcterms:W3CDTF">2026-04-09T13:56:50Z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0x01010009C1604CE6772F45B455A98855E8B4D4</vt:lpwstr>
  </property>
  <property fmtid="{D5CDD505-2E9C-101B-9397-08002B2CF9AE}" pid="3" name="_dlc_DocIdItemGuid">
    <vt:lpwstr>a959de82-b639-400c-84ee-aaa13d77afc7</vt:lpwstr>
  </property>
  <property fmtid="{D5CDD505-2E9C-101B-9397-08002B2CF9AE}" pid="4" name="Order">
    <vt:r8>2918000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M4AP27CTYMCS-280949037-29180</vt:lpwstr>
  </property>
  <property fmtid="{D5CDD505-2E9C-101B-9397-08002B2CF9AE}" pid="8" name="_dlc_DocIdUrl">
    <vt:lpwstr>https://elpasoco.sharepoint.com/sites/ITSDepartment/_layouts/15/DocIdRedir.aspx?ID=M4AP27CTYMCS-280949037-29180, M4AP27CTYMCS-280949037-29180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